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99eeac43f9b587b/Documents/Adventures/Colorado 2026/"/>
    </mc:Choice>
  </mc:AlternateContent>
  <xr:revisionPtr revIDLastSave="964" documentId="8_{1AE6753D-C75D-4FBB-8713-A7AC7F34B54C}" xr6:coauthVersionLast="47" xr6:coauthVersionMax="47" xr10:uidLastSave="{3BAD0407-A25B-4CBC-8528-E1D1DB17CE85}"/>
  <bookViews>
    <workbookView xWindow="14925" yWindow="-16320" windowWidth="29040" windowHeight="15720" activeTab="4" xr2:uid="{CA2045A9-DFC6-45B9-83D7-635C53A6C757}"/>
  </bookViews>
  <sheets>
    <sheet name="Research" sheetId="1" r:id="rId1"/>
    <sheet name="Flat Topps Route" sheetId="2" r:id="rId2"/>
    <sheet name="ItineraryOptions" sheetId="3" r:id="rId3"/>
    <sheet name="Itinerary" sheetId="7" r:id="rId4"/>
    <sheet name="PackingList" sheetId="4" r:id="rId5"/>
    <sheet name="Food" sheetId="6" r:id="rId6"/>
    <sheet name="Plan for Janet" sheetId="8" r:id="rId7"/>
  </sheets>
  <definedNames>
    <definedName name="_xlnm._FilterDatabase" localSheetId="4" hidden="1">PackingList!$A$1:$L$107</definedName>
    <definedName name="_xlnm.Print_Area" localSheetId="3">Itinerary!$A$1:$J$16</definedName>
    <definedName name="_xlnm.Print_Area" localSheetId="4">PackingList!$A$1:$AB$68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7" i="8" l="1"/>
  <c r="A9" i="8" s="1"/>
  <c r="A11" i="8" s="1"/>
  <c r="A12" i="8" s="1"/>
  <c r="A14" i="8" s="1"/>
  <c r="AB55" i="4"/>
  <c r="W9" i="4"/>
  <c r="W66" i="4"/>
  <c r="J66" i="4"/>
  <c r="K42" i="6"/>
  <c r="H20" i="6"/>
  <c r="I20" i="6"/>
  <c r="E20" i="6"/>
  <c r="O30" i="6"/>
  <c r="C9" i="6"/>
  <c r="D14" i="6"/>
  <c r="I14" i="6" s="1"/>
  <c r="D17" i="6"/>
  <c r="D21" i="6"/>
  <c r="D19" i="6"/>
  <c r="D18" i="6"/>
  <c r="D15" i="6"/>
  <c r="I15" i="6" s="1"/>
  <c r="H21" i="6"/>
  <c r="H19" i="6"/>
  <c r="H18" i="6"/>
  <c r="H17" i="6"/>
  <c r="H15" i="6"/>
  <c r="H14" i="6"/>
  <c r="H13" i="6"/>
  <c r="I12" i="6"/>
  <c r="H12" i="6"/>
  <c r="H11" i="6"/>
  <c r="I10" i="6"/>
  <c r="H10" i="6"/>
  <c r="I9" i="6"/>
  <c r="D13" i="6"/>
  <c r="I13" i="6" s="1"/>
  <c r="I27" i="6"/>
  <c r="H27" i="6"/>
  <c r="E27" i="6"/>
  <c r="H26" i="6"/>
  <c r="D26" i="6"/>
  <c r="H25" i="6"/>
  <c r="D25" i="6"/>
  <c r="I24" i="6"/>
  <c r="H24" i="6"/>
  <c r="E24" i="6"/>
  <c r="I37" i="6"/>
  <c r="H37" i="6"/>
  <c r="I36" i="6"/>
  <c r="H36" i="6"/>
  <c r="I35" i="6"/>
  <c r="H35" i="6"/>
  <c r="I34" i="6"/>
  <c r="H34" i="6"/>
  <c r="I33" i="6"/>
  <c r="H33" i="6"/>
  <c r="I32" i="6"/>
  <c r="H32" i="6"/>
  <c r="I31" i="6"/>
  <c r="H31" i="6"/>
  <c r="I30" i="6"/>
  <c r="H30" i="6"/>
  <c r="I29" i="6"/>
  <c r="H29" i="6"/>
  <c r="I28" i="6"/>
  <c r="H28" i="6"/>
  <c r="E32" i="6"/>
  <c r="E31" i="6"/>
  <c r="E30" i="6"/>
  <c r="E29" i="6"/>
  <c r="I7" i="6"/>
  <c r="H7" i="6"/>
  <c r="I6" i="6"/>
  <c r="H6" i="6"/>
  <c r="E6" i="6"/>
  <c r="I5" i="6"/>
  <c r="I4" i="6"/>
  <c r="H4" i="6"/>
  <c r="C5" i="6"/>
  <c r="I3" i="6"/>
  <c r="L7" i="6" s="1"/>
  <c r="H3" i="6"/>
  <c r="A4" i="7"/>
  <c r="A6" i="7" s="1"/>
  <c r="A8" i="7" s="1"/>
  <c r="A10" i="7" s="1"/>
  <c r="A11" i="7" s="1"/>
  <c r="A13" i="7" s="1"/>
  <c r="A14" i="7" s="1"/>
  <c r="E37" i="6"/>
  <c r="E36" i="6"/>
  <c r="E35" i="6"/>
  <c r="E34" i="6"/>
  <c r="E33" i="6"/>
  <c r="E28" i="6"/>
  <c r="D11" i="6"/>
  <c r="I11" i="6" s="1"/>
  <c r="E10" i="6"/>
  <c r="E7" i="6"/>
  <c r="E3" i="6"/>
  <c r="W6" i="4"/>
  <c r="J2" i="4"/>
  <c r="L2" i="4"/>
  <c r="W2" i="4"/>
  <c r="X3" i="4" s="1"/>
  <c r="K3" i="4"/>
  <c r="Y3" i="4"/>
  <c r="L4" i="4"/>
  <c r="W4" i="4"/>
  <c r="Y4" i="4"/>
  <c r="W5" i="4"/>
  <c r="K6" i="4"/>
  <c r="L6" i="4"/>
  <c r="J7" i="4"/>
  <c r="W7" i="4"/>
  <c r="Y7" i="4"/>
  <c r="I8" i="4"/>
  <c r="W8" i="4"/>
  <c r="J9" i="4"/>
  <c r="J11" i="4"/>
  <c r="W11" i="4"/>
  <c r="J12" i="4"/>
  <c r="W12" i="4"/>
  <c r="J13" i="4"/>
  <c r="K13" i="4" s="1"/>
  <c r="W13" i="4"/>
  <c r="X13" i="4" s="1"/>
  <c r="J14" i="4"/>
  <c r="W14" i="4"/>
  <c r="W15" i="4"/>
  <c r="Y15" i="4"/>
  <c r="W16" i="4"/>
  <c r="W17" i="4"/>
  <c r="W18" i="4"/>
  <c r="J19" i="4"/>
  <c r="W19" i="4"/>
  <c r="X25" i="4" s="1"/>
  <c r="I20" i="4"/>
  <c r="J20" i="4" s="1"/>
  <c r="V20" i="4"/>
  <c r="Y19" i="4" s="1"/>
  <c r="W20" i="4"/>
  <c r="J21" i="4"/>
  <c r="Y21" i="4"/>
  <c r="J22" i="4"/>
  <c r="J23" i="4"/>
  <c r="J24" i="4"/>
  <c r="Y24" i="4"/>
  <c r="J25" i="4"/>
  <c r="J26" i="4"/>
  <c r="L26" i="4"/>
  <c r="W26" i="4"/>
  <c r="Y26" i="4"/>
  <c r="J27" i="4"/>
  <c r="W27" i="4"/>
  <c r="J28" i="4"/>
  <c r="J30" i="4"/>
  <c r="J31" i="4"/>
  <c r="J32" i="4"/>
  <c r="J33" i="4"/>
  <c r="W33" i="4"/>
  <c r="J34" i="4"/>
  <c r="W34" i="4"/>
  <c r="J35" i="4"/>
  <c r="W35" i="4"/>
  <c r="L36" i="4"/>
  <c r="J36" i="4"/>
  <c r="J37" i="4"/>
  <c r="J38" i="4"/>
  <c r="J39" i="4"/>
  <c r="J40" i="4"/>
  <c r="L40" i="4"/>
  <c r="Y40" i="4"/>
  <c r="J41" i="4"/>
  <c r="W41" i="4"/>
  <c r="J42" i="4"/>
  <c r="W42" i="4"/>
  <c r="J43" i="4"/>
  <c r="W43" i="4"/>
  <c r="J44" i="4"/>
  <c r="W44" i="4"/>
  <c r="J45" i="4"/>
  <c r="L45" i="4"/>
  <c r="Y45" i="4"/>
  <c r="J46" i="4"/>
  <c r="J47" i="4"/>
  <c r="J48" i="4"/>
  <c r="J49" i="4"/>
  <c r="D50" i="4"/>
  <c r="E50" i="4"/>
  <c r="F50" i="4"/>
  <c r="I50" i="4"/>
  <c r="I51" i="4" s="1"/>
  <c r="P50" i="4"/>
  <c r="Q50" i="4"/>
  <c r="R50" i="4"/>
  <c r="S50" i="4"/>
  <c r="T50" i="4"/>
  <c r="V50" i="4"/>
  <c r="V51" i="4" s="1"/>
  <c r="W50" i="4"/>
  <c r="I52" i="4"/>
  <c r="J52" i="4"/>
  <c r="V52" i="4"/>
  <c r="W52" i="4" s="1"/>
  <c r="J54" i="4"/>
  <c r="W54" i="4"/>
  <c r="J56" i="4"/>
  <c r="W56" i="4"/>
  <c r="J57" i="4"/>
  <c r="W57" i="4"/>
  <c r="J59" i="4"/>
  <c r="J60" i="4"/>
  <c r="W60" i="4"/>
  <c r="J61" i="4"/>
  <c r="W61" i="4"/>
  <c r="J62" i="4"/>
  <c r="W62" i="4"/>
  <c r="I63" i="4"/>
  <c r="J63" i="4" s="1"/>
  <c r="V63" i="4"/>
  <c r="W63" i="4" s="1"/>
  <c r="W68" i="4" s="1"/>
  <c r="J64" i="4"/>
  <c r="J65" i="4"/>
  <c r="J67" i="4"/>
  <c r="I68" i="4"/>
  <c r="V68" i="4"/>
  <c r="A43" i="3"/>
  <c r="A44" i="3" s="1"/>
  <c r="A45" i="3" s="1"/>
  <c r="A46" i="3" s="1"/>
  <c r="A47" i="3" s="1"/>
  <c r="A48" i="3" s="1"/>
  <c r="A49" i="3" s="1"/>
  <c r="A50" i="3" s="1"/>
  <c r="A32" i="3"/>
  <c r="A33" i="3" s="1"/>
  <c r="A34" i="3" s="1"/>
  <c r="A35" i="3" s="1"/>
  <c r="A36" i="3" s="1"/>
  <c r="A37" i="3" s="1"/>
  <c r="A38" i="3" s="1"/>
  <c r="A39" i="3" s="1"/>
  <c r="A21" i="3"/>
  <c r="A22" i="3" s="1"/>
  <c r="A23" i="3" s="1"/>
  <c r="A24" i="3" s="1"/>
  <c r="A25" i="3" s="1"/>
  <c r="A26" i="3" s="1"/>
  <c r="A27" i="3" s="1"/>
  <c r="A28" i="3" s="1"/>
  <c r="A3" i="3"/>
  <c r="A4" i="3" s="1"/>
  <c r="A5" i="3" s="1"/>
  <c r="A6" i="3" s="1"/>
  <c r="A7" i="3" s="1"/>
  <c r="A8" i="3" s="1"/>
  <c r="A9" i="3" s="1"/>
  <c r="A10" i="3" s="1"/>
  <c r="L7" i="4" l="1"/>
  <c r="J8" i="4"/>
  <c r="V55" i="4"/>
  <c r="W51" i="4"/>
  <c r="J68" i="4"/>
  <c r="X11" i="4"/>
  <c r="J50" i="4"/>
  <c r="K25" i="4"/>
  <c r="J51" i="4"/>
  <c r="I55" i="4"/>
  <c r="I26" i="6"/>
  <c r="L37" i="6" s="1"/>
  <c r="N37" i="6" s="1"/>
  <c r="E26" i="6"/>
  <c r="I17" i="6"/>
  <c r="E17" i="6"/>
  <c r="E21" i="6"/>
  <c r="I21" i="6"/>
  <c r="E19" i="6"/>
  <c r="I19" i="6"/>
  <c r="I18" i="6"/>
  <c r="E18" i="6"/>
  <c r="I25" i="6"/>
  <c r="E25" i="6"/>
  <c r="H9" i="6"/>
  <c r="E9" i="6"/>
  <c r="K22" i="6"/>
  <c r="M22" i="6" s="1"/>
  <c r="L22" i="6"/>
  <c r="K37" i="6"/>
  <c r="M37" i="6" s="1"/>
  <c r="N7" i="6"/>
  <c r="H5" i="6"/>
  <c r="E5" i="6"/>
  <c r="E15" i="6"/>
  <c r="E14" i="6"/>
  <c r="E13" i="6"/>
  <c r="E12" i="6"/>
  <c r="E11" i="6"/>
  <c r="E4" i="6"/>
  <c r="X6" i="4"/>
  <c r="K49" i="4"/>
  <c r="X49" i="4"/>
  <c r="G50" i="4"/>
  <c r="K11" i="4" l="1"/>
  <c r="C50" i="4"/>
  <c r="X55" i="4"/>
  <c r="W55" i="4"/>
  <c r="K50" i="4"/>
  <c r="J55" i="4"/>
  <c r="K55" i="4"/>
  <c r="N22" i="6"/>
  <c r="N42" i="6" s="1"/>
  <c r="O42" i="6" s="1"/>
  <c r="L42" i="6"/>
  <c r="K7" i="6"/>
  <c r="K43" i="6" s="1"/>
  <c r="H42" i="6"/>
  <c r="H43" i="6" s="1"/>
  <c r="I42" i="6"/>
  <c r="X50" i="4"/>
  <c r="O43" i="6" l="1"/>
  <c r="K45" i="6"/>
  <c r="M7" i="6"/>
  <c r="M42" i="6" s="1"/>
</calcChain>
</file>

<file path=xl/sharedStrings.xml><?xml version="1.0" encoding="utf-8"?>
<sst xmlns="http://schemas.openxmlformats.org/spreadsheetml/2006/main" count="620" uniqueCount="349">
  <si>
    <t>Flat Topps</t>
  </si>
  <si>
    <t>Lost Lakes - Devil's Causeway in 100 Classic Hikes</t>
  </si>
  <si>
    <t>Marvine Loop in Hiking Colorado</t>
  </si>
  <si>
    <t>Reddit</t>
  </si>
  <si>
    <t>Various trails on AllTrails. Gaia map is clearer</t>
  </si>
  <si>
    <t>Route to Flat Top Mountain on one of the AllTrails routes</t>
  </si>
  <si>
    <t>Reports</t>
  </si>
  <si>
    <t>https://www.wanderingtherockies.com/blog/flattopswilderness</t>
  </si>
  <si>
    <t>https://wildlandtrekking.com/blog/all-about-the-flat-tops-wilderness/</t>
  </si>
  <si>
    <t>https://wildlandtrekking.com/blog/3-epic-colorado-backpacking-trips/</t>
  </si>
  <si>
    <t>https://en.wikipedia.org/wiki/Flat_Top_Mountain_(Colorado)</t>
  </si>
  <si>
    <t>https://www.summitpost.org/trappers-peak-via-wall-lake/326374</t>
  </si>
  <si>
    <t>https://www.youtube.com/watch?v=FteJUC0RsAY</t>
  </si>
  <si>
    <t>https://www.fs.usda.gov/r02/mbrtb/recreation/flat-tops-wilderness-routt</t>
  </si>
  <si>
    <t>USFS</t>
  </si>
  <si>
    <t>Maps</t>
  </si>
  <si>
    <t>https://experience.arcgis.com/experience/9ab8d03e2bec4d7fbfc27ba836e70aed/page/Home/</t>
  </si>
  <si>
    <t>https://www.fs.usda.gov/r02/whiteriver/recreation/flat-tops-wilderness-white-river</t>
  </si>
  <si>
    <t>With link to list of all trails</t>
  </si>
  <si>
    <t>Geocaches</t>
  </si>
  <si>
    <t>Thoughts</t>
  </si>
  <si>
    <t>From reservoir, Devil's Causeway, Twin Lakes, Chinese Wall, Lost Lakes Peak, Trappers lake, Trappers Peak, Flat Top Mountain</t>
  </si>
  <si>
    <t>https://www.cmc.org/education-adventure/trips/routes-places/bpx-routes-places/bpx-4-day-chinese-wall-devils-causeway-loop-from-stillwater-reservoir</t>
  </si>
  <si>
    <t>ChatGPT maps</t>
  </si>
  <si>
    <t>14ers</t>
  </si>
  <si>
    <t>Mount of the Holy Cross</t>
  </si>
  <si>
    <t>Blance Peak</t>
  </si>
  <si>
    <t>I created a ChatGPT map of this.</t>
  </si>
  <si>
    <t>Timeline?</t>
  </si>
  <si>
    <t>Parking</t>
  </si>
  <si>
    <t>Avenza maps</t>
  </si>
  <si>
    <t>Others?</t>
  </si>
  <si>
    <t>Elliott's Ridge Loop</t>
  </si>
  <si>
    <t>4 days, 3 nights.</t>
  </si>
  <si>
    <t>36 miles, 7,000 ft of climb.</t>
  </si>
  <si>
    <t>Day 1</t>
  </si>
  <si>
    <t>Day 2</t>
  </si>
  <si>
    <t>9 miles, 2,500ft, up to 12,000</t>
  </si>
  <si>
    <t>Day 3</t>
  </si>
  <si>
    <t>9.5 miles, 978 ft</t>
  </si>
  <si>
    <t>Day 4</t>
  </si>
  <si>
    <t>8.6 miles, 600 ft</t>
  </si>
  <si>
    <t>Stillwater Reservoir</t>
  </si>
  <si>
    <t>Trail 1119.1 = East Fork Trail</t>
  </si>
  <si>
    <t>Trail 1116.1 = Lost Lakes Trail</t>
  </si>
  <si>
    <t>Trail 1803 = Chinese Wall Trail</t>
  </si>
  <si>
    <t>1814 = Little Trappers Trail</t>
  </si>
  <si>
    <t>1818 = Wall Lake Trail</t>
  </si>
  <si>
    <t>1816 = Trappers Lake Trail</t>
  </si>
  <si>
    <t>1842 = Island Lakes Trail</t>
  </si>
  <si>
    <t>1860 = Hooper Lake Trail</t>
  </si>
  <si>
    <t>Possible side hike to Flat Top Mountain</t>
  </si>
  <si>
    <t>Possible side hike to Lost Lakes Peaks</t>
  </si>
  <si>
    <t>Possible side hike to Trappers Peak</t>
  </si>
  <si>
    <t>Side hike to Devil's Causeway</t>
  </si>
  <si>
    <t>Trail 1103 West Lost Lake Trail</t>
  </si>
  <si>
    <t>BPX camps night 1 at this junction at 7 miles / 2000 ft by Round Lake</t>
  </si>
  <si>
    <t>BPX camps night 2 at this junction after 6 miles / 1500 ft by West Lost Lake</t>
  </si>
  <si>
    <t>BPX camps night 3 at junction with Devil's Causeway Trail at 7 miles / 1500 ft</t>
  </si>
  <si>
    <t>https://valhikes.blogspot.com/2016/07/flattops-derby-peak.html</t>
  </si>
  <si>
    <t>Possible "cut the corner" via Derby Peak. Off trail, bushwack off the top, but someone did it to Hooper lake, Class 2 (peakbagger website)</t>
  </si>
  <si>
    <t>Thursday</t>
  </si>
  <si>
    <t>Friday</t>
  </si>
  <si>
    <t>Saturday</t>
  </si>
  <si>
    <t>Sunday</t>
  </si>
  <si>
    <t>Monday</t>
  </si>
  <si>
    <t>Tuesday</t>
  </si>
  <si>
    <t>Wednesday</t>
  </si>
  <si>
    <t>Samuel's last day of work</t>
  </si>
  <si>
    <t>Peter fly in to Denver. Buy supplies: Food? Gas?</t>
  </si>
  <si>
    <t xml:space="preserve">Get in extra day. Parking concerns if later. </t>
  </si>
  <si>
    <t>Logic</t>
  </si>
  <si>
    <t>Hike over Devil's Causeway pass at 11,500. Target lake at 7 miles. Lighter first day. Concerns about afternoon storms over pass.</t>
  </si>
  <si>
    <t>Hike 7 miles to Round Lake</t>
  </si>
  <si>
    <t>Provisional fly-back day</t>
  </si>
  <si>
    <t xml:space="preserve">6 days, 5 nights. 50 miles. </t>
  </si>
  <si>
    <t>Hike 11 miles to Devil's Causeway Junction</t>
  </si>
  <si>
    <t>Hike 12 miles to Wall Lake</t>
  </si>
  <si>
    <t>Hike 9 miles to Mirror Lake</t>
  </si>
  <si>
    <t>Hike 9 miles out</t>
  </si>
  <si>
    <t>Option for Flat Top Mountain</t>
  </si>
  <si>
    <t>Spare day?</t>
  </si>
  <si>
    <t>Allowing for optional peak bagging / exploring</t>
  </si>
  <si>
    <t>Option for Trappers Peak at start of day. Alternative route is via Derby Peak or Sheep Mountain</t>
  </si>
  <si>
    <t>Alternatives</t>
  </si>
  <si>
    <t>Blanca Peak</t>
  </si>
  <si>
    <t>Harvard / Columbia</t>
  </si>
  <si>
    <t>Mount of the Holy Cross - abundant overflow parking</t>
  </si>
  <si>
    <t>Can only camp at designated site about 3 miles in</t>
  </si>
  <si>
    <t>Hike to peak, hike out, go home</t>
  </si>
  <si>
    <t>Others should be leaving. Not huge amounts of parking. 3.7 mile hike in to edge of treeline, possible camping and basecamp for two peaks</t>
  </si>
  <si>
    <t>Hike Harvard</t>
  </si>
  <si>
    <t>Hike Columbia, hike out, go home</t>
  </si>
  <si>
    <t>Day pack for peak</t>
  </si>
  <si>
    <t>Day pack for peak, pick up tent on way out.</t>
  </si>
  <si>
    <t>DRAMATIC HIKING FROM STILLWATER RESERVOIR - PARKING MIGHT BE AN ISSUE</t>
  </si>
  <si>
    <t>BAGGING SOME 14ERS. PARKING LIKELY AN ISSUE ON FRIDAY AND SATURDAY</t>
  </si>
  <si>
    <t>Drive to Stillwater Reservoir (3.25 hours)</t>
  </si>
  <si>
    <t>Drive to Mount of Holy Cross (2.5 hours)</t>
  </si>
  <si>
    <t>Drive out to Harvard/Columbia parking (2.5 hours)</t>
  </si>
  <si>
    <t>Drive to Marvine Trailhead (4.5 hours)</t>
  </si>
  <si>
    <t>Hike in as much as we feel</t>
  </si>
  <si>
    <t>Hike to junction for Big Marvine Peak, camp</t>
  </si>
  <si>
    <t>Hike up Big Marvine, pick up tent, hike around to Marvine Lakes</t>
  </si>
  <si>
    <t>Mike out, drive to parking for 14er. Hike in</t>
  </si>
  <si>
    <t>Hike 14er, hike out</t>
  </si>
  <si>
    <t>Could be Holy Cross (3.75hrs) or Harvard trailhead (4.5 hours)</t>
  </si>
  <si>
    <t>ANOTHER OPTION - HIKE COLORADO TRAIL AROUND COPPER MOUNTAIN</t>
  </si>
  <si>
    <t>Or hike to Copper and stay in lodge</t>
  </si>
  <si>
    <t>Gold Hill to Copper is 13 miles, 3674 ft</t>
  </si>
  <si>
    <t>Copper to Searle Pass is 12 miles, 3000 ft</t>
  </si>
  <si>
    <t>Searle Pass to Tennessee Pass is 13 miles, 1400 ft</t>
  </si>
  <si>
    <t>Drive to Tennessee Pass (1.75 hrs), hopefully park, get shuttles to Gold Hill (103.7)</t>
  </si>
  <si>
    <t>Hike to beyond copper at 122.3 (12 miles)</t>
  </si>
  <si>
    <t>Camp at 133.8 (11.5 miles)</t>
  </si>
  <si>
    <t>Hike in some, camp (mi 110.6, 7 miles)</t>
  </si>
  <si>
    <t>Tennessee Pass at 142.8 (9 miles), back at car, drive to Golden</t>
  </si>
  <si>
    <t>BLEND OF PEACEFUL HIKE IN FLAT TOPS WILDERNESS AND THEN ONE MORE MORE 14ERS (or spend all the time in different part of Flat Tops wilderness)</t>
  </si>
  <si>
    <t>9 miles, 3100ft, camped at 10,600</t>
  </si>
  <si>
    <t>https://prairieecologist.com/2023/08/07/flat-tops-wilderness-high-elevation-prairie-ecology-2023/</t>
  </si>
  <si>
    <t>https://www.fs.usda.gov/r02/whiteriver/recreation/trails/chinese-wall-trail-1803</t>
  </si>
  <si>
    <t>Inc. Email</t>
  </si>
  <si>
    <t>Protein bar</t>
  </si>
  <si>
    <t>Chips</t>
  </si>
  <si>
    <t>Raisins</t>
  </si>
  <si>
    <t>Oatmeal</t>
  </si>
  <si>
    <t>PJs</t>
  </si>
  <si>
    <t>Flying clothes - hiking pants, dry fit shirt, other hokas, hoodie</t>
  </si>
  <si>
    <t>Wallet with extra cash and credit cards</t>
  </si>
  <si>
    <t>For me, just for travelling</t>
  </si>
  <si>
    <t>All of Samuel's stuff</t>
  </si>
  <si>
    <t>My hiking poles</t>
  </si>
  <si>
    <t>From CO for trip</t>
  </si>
  <si>
    <t>Things for Samuel</t>
  </si>
  <si>
    <t>From Houston</t>
  </si>
  <si>
    <t>Total Weight</t>
  </si>
  <si>
    <t>Maps and pen</t>
  </si>
  <si>
    <t>Handkerchief</t>
  </si>
  <si>
    <t>Buff</t>
  </si>
  <si>
    <t>Hiking poles</t>
  </si>
  <si>
    <t>Hiking poles (mine are in CO)</t>
  </si>
  <si>
    <t>Pants+belt</t>
  </si>
  <si>
    <t>Socks</t>
  </si>
  <si>
    <t>Underwear</t>
  </si>
  <si>
    <t>Suncap</t>
  </si>
  <si>
    <t>Sunglasses</t>
  </si>
  <si>
    <t>Shirt</t>
  </si>
  <si>
    <t>Shoes</t>
  </si>
  <si>
    <t>Clothes Worn</t>
  </si>
  <si>
    <t>Starting Pack Weight</t>
  </si>
  <si>
    <t>Food</t>
  </si>
  <si>
    <t>2 l water</t>
  </si>
  <si>
    <t>Food and water</t>
  </si>
  <si>
    <t>Dry Weight</t>
  </si>
  <si>
    <t>x</t>
  </si>
  <si>
    <t>Ziplock</t>
  </si>
  <si>
    <t>Single key, cash, cc, id, ins.</t>
  </si>
  <si>
    <t>Rope</t>
  </si>
  <si>
    <t>Emergency</t>
  </si>
  <si>
    <t>Fixing Tape+Patches</t>
  </si>
  <si>
    <t>Gloves (2 pairs if desired)</t>
  </si>
  <si>
    <t>Thermals</t>
  </si>
  <si>
    <t>Fleece/Puffy</t>
  </si>
  <si>
    <t>Puffy jacket</t>
  </si>
  <si>
    <t>Woolly hat</t>
  </si>
  <si>
    <t>Stuff sack</t>
  </si>
  <si>
    <t>Clothes</t>
  </si>
  <si>
    <t>Toilet paper</t>
  </si>
  <si>
    <t>Hand sanitizer</t>
  </si>
  <si>
    <t>3 latrine ziplocks</t>
  </si>
  <si>
    <t>Latrine trowel</t>
  </si>
  <si>
    <t>Toilet</t>
  </si>
  <si>
    <t>Crocs</t>
  </si>
  <si>
    <t>Sandals</t>
  </si>
  <si>
    <t>Trashbag</t>
  </si>
  <si>
    <t>Outer Pockets</t>
  </si>
  <si>
    <t>Compass</t>
  </si>
  <si>
    <t>Knife?</t>
  </si>
  <si>
    <t>Backpack Belt</t>
  </si>
  <si>
    <t>Nail clippers</t>
  </si>
  <si>
    <t>Garmin InReach</t>
  </si>
  <si>
    <t>Battery, cables, ziplock</t>
  </si>
  <si>
    <t>Headtorch</t>
  </si>
  <si>
    <t>Night Time</t>
  </si>
  <si>
    <t>Water filter, coupler, ziplock</t>
  </si>
  <si>
    <t>Water Bladder</t>
  </si>
  <si>
    <t>Toothbrush with toothpaste/floss</t>
  </si>
  <si>
    <t>Meds (Advil, Zyrtec, Diamox)</t>
  </si>
  <si>
    <t>Wet wipes (for hygiene &amp; emergencies)</t>
  </si>
  <si>
    <t xml:space="preserve">Spoon </t>
  </si>
  <si>
    <t>Spoon</t>
  </si>
  <si>
    <t>Mug</t>
  </si>
  <si>
    <t>Fuel</t>
  </si>
  <si>
    <t>1 x 3.53oz fuel cans</t>
  </si>
  <si>
    <t>Lighter</t>
  </si>
  <si>
    <t>Jetboil</t>
  </si>
  <si>
    <t>Smartwater Bottle x 2</t>
  </si>
  <si>
    <t>Cooking System</t>
  </si>
  <si>
    <t>Inflatable pillow</t>
  </si>
  <si>
    <t>Sleeping bag etc.</t>
  </si>
  <si>
    <t>Sleeping bag</t>
  </si>
  <si>
    <t>Nemo Sleeping mat</t>
  </si>
  <si>
    <t>Sleeping System</t>
  </si>
  <si>
    <t>Groundsheet</t>
  </si>
  <si>
    <t>Shelter</t>
  </si>
  <si>
    <t>Gossamer Gear Pack</t>
  </si>
  <si>
    <t>Packing System</t>
  </si>
  <si>
    <t>Hyperlite Pack (w/ strap pockets)</t>
  </si>
  <si>
    <t>Comments</t>
  </si>
  <si>
    <t>Packages</t>
  </si>
  <si>
    <t>lbs</t>
  </si>
  <si>
    <t>oz</t>
  </si>
  <si>
    <t>Pac</t>
  </si>
  <si>
    <t>Foo</t>
  </si>
  <si>
    <t>Con</t>
  </si>
  <si>
    <t>Clo</t>
  </si>
  <si>
    <t>Dry</t>
  </si>
  <si>
    <t>Headphones for flight in small backpack</t>
  </si>
  <si>
    <t>Pistachios</t>
  </si>
  <si>
    <t>Total Per day</t>
  </si>
  <si>
    <t>Weight</t>
  </si>
  <si>
    <t>Calories</t>
  </si>
  <si>
    <t>Breakfast</t>
  </si>
  <si>
    <t>Coffee</t>
  </si>
  <si>
    <t>Poptart</t>
  </si>
  <si>
    <t>Lunch</t>
  </si>
  <si>
    <t>Quest bar</t>
  </si>
  <si>
    <t>Honeymaid</t>
  </si>
  <si>
    <t>Tri waffle</t>
  </si>
  <si>
    <t>3 musketeers</t>
  </si>
  <si>
    <t>Milky way</t>
  </si>
  <si>
    <t>Dinner</t>
  </si>
  <si>
    <t>Raman</t>
  </si>
  <si>
    <t>Hot Chocolate</t>
  </si>
  <si>
    <t>Totals</t>
  </si>
  <si>
    <t>Fly DEN 1:32pm to IAH 5:00pm</t>
  </si>
  <si>
    <t>Fly IAH (12:30pm) to DEN (2:15pm), RTD to Union Station, Samuel pick me up, stay in Golden</t>
  </si>
  <si>
    <t>New 50 mile loops</t>
  </si>
  <si>
    <t>https://www.davidonearth.com/blog/fifty-miles-in-the-flat-tops-wilderness</t>
  </si>
  <si>
    <t>https://backpackinglight.com/forums/topic/80935/</t>
  </si>
  <si>
    <t>https://valhikes.blogspot.com/2016/07/flattops-turret-creek.html</t>
  </si>
  <si>
    <t>Our template:</t>
  </si>
  <si>
    <t>Sleep</t>
  </si>
  <si>
    <t>Distance</t>
  </si>
  <si>
    <t>Up</t>
  </si>
  <si>
    <t>Down</t>
  </si>
  <si>
    <t>Water</t>
  </si>
  <si>
    <t xml:space="preserve">Drive to Sweetwater Lake Resort (3hrs). Leave at 5:00/5:30am. </t>
  </si>
  <si>
    <t>Camp elev</t>
  </si>
  <si>
    <t>By river</t>
  </si>
  <si>
    <t>Sunrise 6am; Sunset 8pm. Treeline 11,000-11,500 ft.</t>
  </si>
  <si>
    <t>By Turret Creek in trees</t>
  </si>
  <si>
    <t>Each day flexible. See how it is going, altitude, weather, water availability, viable campsites.</t>
  </si>
  <si>
    <t>Hike ~8.5 miles. All on Turret Creek Trail #1832</t>
  </si>
  <si>
    <t>Gore Range Hike</t>
  </si>
  <si>
    <t>Lost Creek Wilderness</t>
  </si>
  <si>
    <t>Max elev</t>
  </si>
  <si>
    <t>Calibrations</t>
  </si>
  <si>
    <t>By lake</t>
  </si>
  <si>
    <t>Unnamed lake</t>
  </si>
  <si>
    <t>Hike ~10 miles via Turret Crescent #2269, W Mountain #1817, Island Lakes #1842, Deer Lake #1082, Chinese Wall #1803.</t>
  </si>
  <si>
    <t>Alternative route avoiding drop to Deer Lake is 10.2mi, 1575 up, 876 down, with more exposure.</t>
  </si>
  <si>
    <t>Scarce</t>
  </si>
  <si>
    <t>Hike ~11 miles via Devil's Causeway on Chinese Wall #1803 to junction with Lakes Trail</t>
  </si>
  <si>
    <t>Lakes Trail junction or rim</t>
  </si>
  <si>
    <t>Plenty</t>
  </si>
  <si>
    <t>West Lost Lake</t>
  </si>
  <si>
    <t>Alternative cross Devil's Causeway, follow Lost Lakes trail #1116</t>
  </si>
  <si>
    <t>Hike ~11.4 miles to Wall Lake on Lost Lakes #1812, Duck Lake #2261, Wall Lake #1818</t>
  </si>
  <si>
    <t>Wall Lake</t>
  </si>
  <si>
    <t>After 3 mi</t>
  </si>
  <si>
    <t>Hike ~7 miles to Rim Lake along Wall Lake #1818, Trappers #1816, and Rim Lake #1856</t>
  </si>
  <si>
    <t>Rim Lake</t>
  </si>
  <si>
    <t>NA</t>
  </si>
  <si>
    <t>Base Route over six days in AllTrails</t>
  </si>
  <si>
    <t>Option up Trappers Peak, about 1 mile one way, about 1000 ft elevation, at start of day.</t>
  </si>
  <si>
    <t>Hike out, drive 3 hours back to Golden.</t>
  </si>
  <si>
    <t>Day 5</t>
  </si>
  <si>
    <t>Day 6</t>
  </si>
  <si>
    <t>Granola bars</t>
  </si>
  <si>
    <t>Arrival</t>
  </si>
  <si>
    <t>Sandwich (first day)</t>
  </si>
  <si>
    <t>Meat sticks</t>
  </si>
  <si>
    <t>cheese and crackers</t>
  </si>
  <si>
    <t>Trail Mix</t>
  </si>
  <si>
    <t>Nuun</t>
  </si>
  <si>
    <t>Dehydrated meal</t>
  </si>
  <si>
    <t>Peach Cobbler</t>
  </si>
  <si>
    <t>Hot chocolate</t>
  </si>
  <si>
    <t>Chocolate</t>
  </si>
  <si>
    <t>Cheese crackers</t>
  </si>
  <si>
    <t>Dried mangoes</t>
  </si>
  <si>
    <t>Waffles</t>
  </si>
  <si>
    <t>Quantity</t>
  </si>
  <si>
    <t>Not in Ursack.</t>
  </si>
  <si>
    <t xml:space="preserve">Eat up whatever is left. </t>
  </si>
  <si>
    <t>Nescafe Coffee</t>
  </si>
  <si>
    <t>TJ Coffee</t>
  </si>
  <si>
    <t>Cal</t>
  </si>
  <si>
    <t>cal/oz</t>
  </si>
  <si>
    <t>Average over 5 days for 2 people</t>
  </si>
  <si>
    <t>P2 Chicken Alfredo</t>
  </si>
  <si>
    <t>MH Beef Spaghetti</t>
  </si>
  <si>
    <t>P2 Chicken and Rice</t>
  </si>
  <si>
    <t>P2 Beef Stroganoff</t>
  </si>
  <si>
    <t>Chicken Pesto Pasta</t>
  </si>
  <si>
    <t>Chicken Raman</t>
  </si>
  <si>
    <t>Beef Raman</t>
  </si>
  <si>
    <t>Creamy Chicken Raman</t>
  </si>
  <si>
    <t>Cobbler mix</t>
  </si>
  <si>
    <t xml:space="preserve"> </t>
  </si>
  <si>
    <t>Goal: 2000 calories on average</t>
  </si>
  <si>
    <t>Parmesan cheese</t>
  </si>
  <si>
    <t>Saltines</t>
  </si>
  <si>
    <t>Sour patch kids</t>
  </si>
  <si>
    <t>Dried Mango</t>
  </si>
  <si>
    <t>Mars mix</t>
  </si>
  <si>
    <t>Fritos</t>
  </si>
  <si>
    <t>Beef stick</t>
  </si>
  <si>
    <t>Crunchy oats bar</t>
  </si>
  <si>
    <t>Calories per person per day</t>
  </si>
  <si>
    <t>Pounds of food per person per day</t>
  </si>
  <si>
    <t>Twix</t>
  </si>
  <si>
    <t>Snickers</t>
  </si>
  <si>
    <t>Actual</t>
  </si>
  <si>
    <t>Honey stinger gel</t>
  </si>
  <si>
    <t>Diff</t>
  </si>
  <si>
    <t>Ursack and 2 Opsaks</t>
  </si>
  <si>
    <t>1 gallon ziplock</t>
  </si>
  <si>
    <t>First Aid Kit with Aquatabs</t>
  </si>
  <si>
    <t>iPhone</t>
  </si>
  <si>
    <t>Food treats</t>
  </si>
  <si>
    <t>For the car</t>
  </si>
  <si>
    <t>In Case of Emergency sheet</t>
  </si>
  <si>
    <t>Battery, cables, ziplock, itinerary</t>
  </si>
  <si>
    <t>Nemo Tensor Extreme</t>
  </si>
  <si>
    <t>Spare ziplocks</t>
  </si>
  <si>
    <t>Food in hard case on plane?</t>
  </si>
  <si>
    <t>All my stuff, backpack in tote</t>
  </si>
  <si>
    <t>Golden campsite list</t>
  </si>
  <si>
    <t>Tarp stakes and line</t>
  </si>
  <si>
    <t>Tent (Big Agnes Copper Spur UL3)</t>
  </si>
  <si>
    <t>Samuel CO'26</t>
  </si>
  <si>
    <t>Peter CO'26</t>
  </si>
  <si>
    <t>Total weight</t>
  </si>
  <si>
    <t>Extra water, snacks for trip and when come out</t>
  </si>
  <si>
    <t>Waterproofs</t>
  </si>
  <si>
    <t xml:space="preserve">Drive to Sweetwater Lake Resort (3hrs). Leave apartment at 6:00am. </t>
  </si>
  <si>
    <t>Camp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</si>
</sst>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Roboto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</cellStyleXfs>
  <cellXfs count="69">
    <xf numFmtId="0" fontId="0" fillId="0" borderId="0" xfId="0"/>
    <xf numFmtId="15" fontId="0" fillId="3" borderId="0" xfId="0" applyNumberFormat="1" applyFill="1"/>
    <xf numFmtId="0" fontId="0" fillId="4" borderId="0" xfId="0" applyFill="1"/>
    <xf numFmtId="0" fontId="1" fillId="2" borderId="0" xfId="1"/>
    <xf numFmtId="0" fontId="2" fillId="0" borderId="0" xfId="0" applyFont="1"/>
    <xf numFmtId="0" fontId="0" fillId="3" borderId="0" xfId="0" applyFill="1"/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left" vertical="center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ill="1"/>
    <xf numFmtId="164" fontId="0" fillId="3" borderId="1" xfId="0" applyNumberFormat="1" applyFill="1" applyBorder="1"/>
    <xf numFmtId="0" fontId="0" fillId="3" borderId="1" xfId="0" applyFill="1" applyBorder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5" fillId="3" borderId="0" xfId="0" applyFont="1" applyFill="1"/>
    <xf numFmtId="164" fontId="0" fillId="3" borderId="2" xfId="3" applyNumberFormat="1" applyFont="1" applyFill="1" applyBorder="1" applyAlignment="1">
      <alignment horizontal="center"/>
    </xf>
    <xf numFmtId="164" fontId="0" fillId="3" borderId="2" xfId="3" applyNumberFormat="1" applyFont="1" applyFill="1" applyBorder="1"/>
    <xf numFmtId="0" fontId="0" fillId="3" borderId="2" xfId="3" applyFont="1" applyFill="1" applyBorder="1"/>
    <xf numFmtId="0" fontId="0" fillId="3" borderId="2" xfId="0" applyFill="1" applyBorder="1"/>
    <xf numFmtId="0" fontId="0" fillId="3" borderId="0" xfId="0" applyFill="1" applyAlignment="1">
      <alignment horizontal="center" vertical="center"/>
    </xf>
    <xf numFmtId="164" fontId="0" fillId="3" borderId="0" xfId="2" applyNumberFormat="1" applyFont="1" applyFill="1" applyBorder="1" applyAlignment="1">
      <alignment horizontal="center"/>
    </xf>
    <xf numFmtId="164" fontId="0" fillId="3" borderId="0" xfId="2" applyNumberFormat="1" applyFont="1" applyFill="1" applyBorder="1"/>
    <xf numFmtId="164" fontId="0" fillId="3" borderId="1" xfId="2" applyNumberFormat="1" applyFont="1" applyFill="1" applyBorder="1"/>
    <xf numFmtId="0" fontId="0" fillId="3" borderId="1" xfId="2" applyFont="1" applyFill="1" applyBorder="1"/>
    <xf numFmtId="164" fontId="0" fillId="3" borderId="0" xfId="2" applyNumberFormat="1" applyFont="1" applyFill="1" applyAlignment="1">
      <alignment horizontal="center"/>
    </xf>
    <xf numFmtId="164" fontId="0" fillId="3" borderId="0" xfId="2" applyNumberFormat="1" applyFont="1" applyFill="1"/>
    <xf numFmtId="0" fontId="0" fillId="3" borderId="0" xfId="2" applyFont="1" applyFill="1"/>
    <xf numFmtId="164" fontId="0" fillId="3" borderId="3" xfId="0" applyNumberFormat="1" applyFill="1" applyBorder="1" applyAlignment="1">
      <alignment horizontal="center"/>
    </xf>
    <xf numFmtId="164" fontId="0" fillId="3" borderId="3" xfId="0" applyNumberFormat="1" applyFill="1" applyBorder="1"/>
    <xf numFmtId="0" fontId="0" fillId="3" borderId="3" xfId="0" applyFill="1" applyBorder="1"/>
    <xf numFmtId="0" fontId="0" fillId="3" borderId="3" xfId="0" applyFill="1" applyBorder="1" applyAlignment="1">
      <alignment horizontal="center" vertical="center"/>
    </xf>
    <xf numFmtId="0" fontId="0" fillId="3" borderId="0" xfId="2" applyFont="1" applyFill="1" applyAlignment="1">
      <alignment horizontal="center" vertical="center"/>
    </xf>
    <xf numFmtId="164" fontId="0" fillId="3" borderId="2" xfId="0" applyNumberFormat="1" applyFill="1" applyBorder="1"/>
    <xf numFmtId="0" fontId="0" fillId="3" borderId="2" xfId="2" applyFont="1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164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164" fontId="0" fillId="0" borderId="0" xfId="0" applyNumberFormat="1"/>
    <xf numFmtId="164" fontId="0" fillId="3" borderId="2" xfId="0" applyNumberFormat="1" applyFill="1" applyBorder="1" applyAlignment="1">
      <alignment horizontal="center"/>
    </xf>
    <xf numFmtId="0" fontId="0" fillId="3" borderId="0" xfId="1" applyFont="1" applyFill="1"/>
    <xf numFmtId="0" fontId="0" fillId="3" borderId="0" xfId="2" applyFont="1" applyFill="1" applyAlignment="1">
      <alignment horizontal="center"/>
    </xf>
    <xf numFmtId="0" fontId="0" fillId="7" borderId="0" xfId="0" applyFill="1"/>
    <xf numFmtId="0" fontId="0" fillId="7" borderId="2" xfId="0" applyFill="1" applyBorder="1"/>
    <xf numFmtId="0" fontId="8" fillId="0" borderId="0" xfId="0" applyFont="1"/>
    <xf numFmtId="0" fontId="0" fillId="0" borderId="0" xfId="0" applyAlignment="1">
      <alignment horizontal="center"/>
    </xf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15" fontId="0" fillId="3" borderId="5" xfId="0" applyNumberFormat="1" applyFill="1" applyBorder="1"/>
    <xf numFmtId="0" fontId="0" fillId="0" borderId="5" xfId="0" applyBorder="1"/>
    <xf numFmtId="0" fontId="0" fillId="4" borderId="5" xfId="0" applyFill="1" applyBorder="1"/>
    <xf numFmtId="0" fontId="8" fillId="0" borderId="5" xfId="0" applyFont="1" applyBorder="1"/>
    <xf numFmtId="0" fontId="8" fillId="0" borderId="5" xfId="0" applyFont="1" applyBorder="1" applyAlignment="1">
      <alignment horizontal="left"/>
    </xf>
    <xf numFmtId="0" fontId="3" fillId="5" borderId="5" xfId="2" applyBorder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0" fillId="3" borderId="0" xfId="2" applyNumberFormat="1" applyFont="1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2" applyFont="1" applyFill="1" applyBorder="1" applyAlignment="1">
      <alignment horizontal="center" vertical="center"/>
    </xf>
    <xf numFmtId="0" fontId="0" fillId="3" borderId="0" xfId="2" applyFont="1" applyFill="1" applyAlignment="1">
      <alignment horizontal="center" vertical="center"/>
    </xf>
    <xf numFmtId="0" fontId="0" fillId="3" borderId="2" xfId="2" applyFont="1" applyFill="1" applyBorder="1" applyAlignment="1">
      <alignment horizontal="center" vertical="center"/>
    </xf>
    <xf numFmtId="164" fontId="0" fillId="3" borderId="4" xfId="2" applyNumberFormat="1" applyFont="1" applyFill="1" applyBorder="1" applyAlignment="1">
      <alignment horizontal="center" vertical="center"/>
    </xf>
    <xf numFmtId="164" fontId="0" fillId="3" borderId="2" xfId="2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0" xfId="2" applyNumberFormat="1" applyFont="1" applyFill="1" applyBorder="1" applyAlignment="1">
      <alignment horizontal="center"/>
    </xf>
    <xf numFmtId="164" fontId="0" fillId="3" borderId="2" xfId="2" applyNumberFormat="1" applyFont="1" applyFill="1" applyBorder="1" applyAlignment="1">
      <alignment horizontal="center"/>
    </xf>
  </cellXfs>
  <cellStyles count="4">
    <cellStyle name="Bad" xfId="1" builtinId="27"/>
    <cellStyle name="Good" xfId="2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5F5F-D994-4F54-93BC-9946200A62D7}">
  <dimension ref="A1:C48"/>
  <sheetViews>
    <sheetView topLeftCell="A16" workbookViewId="0">
      <selection activeCell="M56" sqref="M56"/>
    </sheetView>
  </sheetViews>
  <sheetFormatPr defaultRowHeight="14.4" x14ac:dyDescent="0.3"/>
  <cols>
    <col min="1" max="1" width="19.44140625" customWidth="1"/>
  </cols>
  <sheetData>
    <row r="1" spans="1:3" x14ac:dyDescent="0.3">
      <c r="A1" t="s">
        <v>20</v>
      </c>
      <c r="B1" t="s">
        <v>21</v>
      </c>
    </row>
    <row r="2" spans="1:3" x14ac:dyDescent="0.3">
      <c r="B2" t="s">
        <v>28</v>
      </c>
    </row>
    <row r="3" spans="1:3" x14ac:dyDescent="0.3">
      <c r="B3" t="s">
        <v>29</v>
      </c>
    </row>
    <row r="5" spans="1:3" x14ac:dyDescent="0.3">
      <c r="A5" t="s">
        <v>0</v>
      </c>
      <c r="B5" t="s">
        <v>1</v>
      </c>
    </row>
    <row r="6" spans="1:3" x14ac:dyDescent="0.3">
      <c r="B6" t="s">
        <v>2</v>
      </c>
    </row>
    <row r="7" spans="1:3" x14ac:dyDescent="0.3">
      <c r="B7" t="s">
        <v>3</v>
      </c>
    </row>
    <row r="8" spans="1:3" x14ac:dyDescent="0.3">
      <c r="B8" t="s">
        <v>4</v>
      </c>
    </row>
    <row r="9" spans="1:3" x14ac:dyDescent="0.3">
      <c r="B9" t="s">
        <v>5</v>
      </c>
    </row>
    <row r="10" spans="1:3" x14ac:dyDescent="0.3">
      <c r="B10" t="s">
        <v>19</v>
      </c>
    </row>
    <row r="11" spans="1:3" x14ac:dyDescent="0.3">
      <c r="B11" t="s">
        <v>23</v>
      </c>
    </row>
    <row r="13" spans="1:3" x14ac:dyDescent="0.3">
      <c r="A13" t="s">
        <v>6</v>
      </c>
      <c r="B13" t="s">
        <v>7</v>
      </c>
    </row>
    <row r="14" spans="1:3" x14ac:dyDescent="0.3">
      <c r="B14" t="s">
        <v>8</v>
      </c>
    </row>
    <row r="15" spans="1:3" x14ac:dyDescent="0.3">
      <c r="B15" t="s">
        <v>9</v>
      </c>
    </row>
    <row r="16" spans="1:3" x14ac:dyDescent="0.3">
      <c r="C16" t="s">
        <v>27</v>
      </c>
    </row>
    <row r="17" spans="1:3" x14ac:dyDescent="0.3">
      <c r="B17" t="s">
        <v>10</v>
      </c>
    </row>
    <row r="18" spans="1:3" x14ac:dyDescent="0.3">
      <c r="B18" t="s">
        <v>11</v>
      </c>
    </row>
    <row r="19" spans="1:3" x14ac:dyDescent="0.3">
      <c r="B19" t="s">
        <v>12</v>
      </c>
    </row>
    <row r="20" spans="1:3" x14ac:dyDescent="0.3">
      <c r="B20" t="s">
        <v>22</v>
      </c>
    </row>
    <row r="21" spans="1:3" x14ac:dyDescent="0.3">
      <c r="B21" t="s">
        <v>59</v>
      </c>
    </row>
    <row r="22" spans="1:3" x14ac:dyDescent="0.3">
      <c r="B22" t="s">
        <v>119</v>
      </c>
    </row>
    <row r="24" spans="1:3" x14ac:dyDescent="0.3">
      <c r="A24" t="s">
        <v>14</v>
      </c>
      <c r="B24" t="s">
        <v>13</v>
      </c>
    </row>
    <row r="25" spans="1:3" x14ac:dyDescent="0.3">
      <c r="B25" t="s">
        <v>15</v>
      </c>
      <c r="C25" t="s">
        <v>16</v>
      </c>
    </row>
    <row r="26" spans="1:3" x14ac:dyDescent="0.3">
      <c r="B26" t="s">
        <v>17</v>
      </c>
    </row>
    <row r="27" spans="1:3" x14ac:dyDescent="0.3">
      <c r="B27" t="s">
        <v>18</v>
      </c>
    </row>
    <row r="28" spans="1:3" x14ac:dyDescent="0.3">
      <c r="B28" t="s">
        <v>30</v>
      </c>
    </row>
    <row r="29" spans="1:3" x14ac:dyDescent="0.3">
      <c r="A29" t="s">
        <v>121</v>
      </c>
      <c r="B29" t="s">
        <v>120</v>
      </c>
    </row>
    <row r="32" spans="1:3" x14ac:dyDescent="0.3">
      <c r="A32" t="s">
        <v>24</v>
      </c>
      <c r="B32" t="s">
        <v>25</v>
      </c>
    </row>
    <row r="33" spans="1:3" x14ac:dyDescent="0.3">
      <c r="B33" t="s">
        <v>26</v>
      </c>
    </row>
    <row r="34" spans="1:3" x14ac:dyDescent="0.3">
      <c r="B34" t="s">
        <v>31</v>
      </c>
    </row>
    <row r="37" spans="1:3" x14ac:dyDescent="0.3">
      <c r="A37" t="s">
        <v>32</v>
      </c>
      <c r="B37" t="s">
        <v>33</v>
      </c>
    </row>
    <row r="38" spans="1:3" x14ac:dyDescent="0.3">
      <c r="B38" t="s">
        <v>34</v>
      </c>
    </row>
    <row r="39" spans="1:3" x14ac:dyDescent="0.3">
      <c r="B39" t="s">
        <v>35</v>
      </c>
      <c r="C39" t="s">
        <v>118</v>
      </c>
    </row>
    <row r="40" spans="1:3" x14ac:dyDescent="0.3">
      <c r="B40" t="s">
        <v>36</v>
      </c>
      <c r="C40" t="s">
        <v>37</v>
      </c>
    </row>
    <row r="41" spans="1:3" x14ac:dyDescent="0.3">
      <c r="B41" t="s">
        <v>38</v>
      </c>
      <c r="C41" t="s">
        <v>39</v>
      </c>
    </row>
    <row r="42" spans="1:3" x14ac:dyDescent="0.3">
      <c r="B42" t="s">
        <v>40</v>
      </c>
      <c r="C42" t="s">
        <v>41</v>
      </c>
    </row>
    <row r="45" spans="1:3" x14ac:dyDescent="0.3">
      <c r="A45" t="s">
        <v>237</v>
      </c>
      <c r="B45" t="s">
        <v>238</v>
      </c>
    </row>
    <row r="46" spans="1:3" x14ac:dyDescent="0.3">
      <c r="B46" t="s">
        <v>239</v>
      </c>
    </row>
    <row r="48" spans="1:3" x14ac:dyDescent="0.3">
      <c r="A48" t="s">
        <v>241</v>
      </c>
      <c r="B48" t="s">
        <v>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130A-B886-4E60-9F3A-E3EFDC1977C4}">
  <dimension ref="B2:D13"/>
  <sheetViews>
    <sheetView workbookViewId="0">
      <selection activeCell="C34" sqref="C34"/>
    </sheetView>
  </sheetViews>
  <sheetFormatPr defaultRowHeight="14.4" x14ac:dyDescent="0.3"/>
  <cols>
    <col min="2" max="2" width="27.88671875" customWidth="1"/>
    <col min="3" max="3" width="35.109375" bestFit="1" customWidth="1"/>
  </cols>
  <sheetData>
    <row r="2" spans="2:4" x14ac:dyDescent="0.3">
      <c r="B2" t="s">
        <v>42</v>
      </c>
    </row>
    <row r="3" spans="2:4" x14ac:dyDescent="0.3">
      <c r="B3" t="s">
        <v>43</v>
      </c>
      <c r="C3" t="s">
        <v>54</v>
      </c>
    </row>
    <row r="4" spans="2:4" x14ac:dyDescent="0.3">
      <c r="B4" t="s">
        <v>44</v>
      </c>
      <c r="D4" t="s">
        <v>56</v>
      </c>
    </row>
    <row r="5" spans="2:4" x14ac:dyDescent="0.3">
      <c r="B5" t="s">
        <v>55</v>
      </c>
      <c r="D5" t="s">
        <v>57</v>
      </c>
    </row>
    <row r="6" spans="2:4" x14ac:dyDescent="0.3">
      <c r="B6" t="s">
        <v>45</v>
      </c>
      <c r="C6" t="s">
        <v>52</v>
      </c>
      <c r="D6" t="s">
        <v>58</v>
      </c>
    </row>
    <row r="7" spans="2:4" x14ac:dyDescent="0.3">
      <c r="B7" t="s">
        <v>46</v>
      </c>
    </row>
    <row r="8" spans="2:4" x14ac:dyDescent="0.3">
      <c r="B8" t="s">
        <v>47</v>
      </c>
      <c r="C8" t="s">
        <v>53</v>
      </c>
    </row>
    <row r="9" spans="2:4" x14ac:dyDescent="0.3">
      <c r="B9" t="s">
        <v>48</v>
      </c>
    </row>
    <row r="10" spans="2:4" x14ac:dyDescent="0.3">
      <c r="B10" t="s">
        <v>49</v>
      </c>
    </row>
    <row r="11" spans="2:4" x14ac:dyDescent="0.3">
      <c r="B11" t="s">
        <v>50</v>
      </c>
      <c r="C11" t="s">
        <v>51</v>
      </c>
    </row>
    <row r="13" spans="2:4" x14ac:dyDescent="0.3">
      <c r="B13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141F-2F2F-4D41-A0AA-2A4F1C9B487D}">
  <dimension ref="A1:F50"/>
  <sheetViews>
    <sheetView workbookViewId="0">
      <selection activeCell="G29" sqref="G29"/>
    </sheetView>
  </sheetViews>
  <sheetFormatPr defaultRowHeight="14.4" x14ac:dyDescent="0.3"/>
  <cols>
    <col min="1" max="1" width="10" customWidth="1"/>
    <col min="3" max="3" width="71.5546875" customWidth="1"/>
    <col min="4" max="4" width="37.88671875" bestFit="1" customWidth="1"/>
    <col min="5" max="5" width="41.88671875" bestFit="1" customWidth="1"/>
    <col min="6" max="6" width="29.44140625" customWidth="1"/>
  </cols>
  <sheetData>
    <row r="1" spans="1:6" x14ac:dyDescent="0.3">
      <c r="A1" s="4" t="s">
        <v>95</v>
      </c>
      <c r="E1" t="s">
        <v>71</v>
      </c>
    </row>
    <row r="2" spans="1:6" x14ac:dyDescent="0.3">
      <c r="A2" s="1">
        <v>46247</v>
      </c>
      <c r="B2" t="s">
        <v>61</v>
      </c>
      <c r="C2" s="3" t="s">
        <v>68</v>
      </c>
      <c r="E2" t="s">
        <v>69</v>
      </c>
    </row>
    <row r="3" spans="1:6" x14ac:dyDescent="0.3">
      <c r="A3" s="1">
        <f t="shared" ref="A3:A10" si="0">A2+1</f>
        <v>46248</v>
      </c>
      <c r="B3" t="s">
        <v>62</v>
      </c>
      <c r="C3" t="s">
        <v>97</v>
      </c>
      <c r="D3" t="s">
        <v>73</v>
      </c>
      <c r="E3" t="s">
        <v>70</v>
      </c>
      <c r="F3" t="s">
        <v>72</v>
      </c>
    </row>
    <row r="4" spans="1:6" x14ac:dyDescent="0.3">
      <c r="A4" s="1">
        <f t="shared" si="0"/>
        <v>46249</v>
      </c>
      <c r="B4" s="2" t="s">
        <v>63</v>
      </c>
      <c r="D4" t="s">
        <v>76</v>
      </c>
    </row>
    <row r="5" spans="1:6" x14ac:dyDescent="0.3">
      <c r="A5" s="1">
        <f t="shared" si="0"/>
        <v>46250</v>
      </c>
      <c r="B5" s="2" t="s">
        <v>64</v>
      </c>
      <c r="D5" t="s">
        <v>77</v>
      </c>
    </row>
    <row r="6" spans="1:6" x14ac:dyDescent="0.3">
      <c r="A6" s="1">
        <f t="shared" si="0"/>
        <v>46251</v>
      </c>
      <c r="B6" t="s">
        <v>65</v>
      </c>
      <c r="D6" t="s">
        <v>78</v>
      </c>
      <c r="E6" t="s">
        <v>83</v>
      </c>
    </row>
    <row r="7" spans="1:6" x14ac:dyDescent="0.3">
      <c r="A7" s="1">
        <f t="shared" si="0"/>
        <v>46252</v>
      </c>
      <c r="B7" t="s">
        <v>66</v>
      </c>
      <c r="D7" t="s">
        <v>79</v>
      </c>
      <c r="E7" t="s">
        <v>80</v>
      </c>
    </row>
    <row r="8" spans="1:6" x14ac:dyDescent="0.3">
      <c r="A8" s="1">
        <f t="shared" si="0"/>
        <v>46253</v>
      </c>
      <c r="B8" t="s">
        <v>67</v>
      </c>
      <c r="D8" t="s">
        <v>81</v>
      </c>
      <c r="E8" t="s">
        <v>82</v>
      </c>
    </row>
    <row r="9" spans="1:6" x14ac:dyDescent="0.3">
      <c r="A9" s="1">
        <f t="shared" si="0"/>
        <v>46254</v>
      </c>
      <c r="B9" t="s">
        <v>61</v>
      </c>
      <c r="C9" s="3" t="s">
        <v>74</v>
      </c>
    </row>
    <row r="10" spans="1:6" x14ac:dyDescent="0.3">
      <c r="A10" s="1">
        <f t="shared" si="0"/>
        <v>46255</v>
      </c>
      <c r="B10" t="s">
        <v>62</v>
      </c>
    </row>
    <row r="12" spans="1:6" x14ac:dyDescent="0.3">
      <c r="A12" t="s">
        <v>75</v>
      </c>
    </row>
    <row r="14" spans="1:6" x14ac:dyDescent="0.3">
      <c r="A14" t="s">
        <v>84</v>
      </c>
    </row>
    <row r="15" spans="1:6" x14ac:dyDescent="0.3">
      <c r="B15" t="s">
        <v>85</v>
      </c>
    </row>
    <row r="16" spans="1:6" x14ac:dyDescent="0.3">
      <c r="B16" t="s">
        <v>87</v>
      </c>
    </row>
    <row r="17" spans="1:4" x14ac:dyDescent="0.3">
      <c r="B17" t="s">
        <v>86</v>
      </c>
    </row>
    <row r="19" spans="1:4" x14ac:dyDescent="0.3">
      <c r="A19" s="4" t="s">
        <v>96</v>
      </c>
    </row>
    <row r="20" spans="1:4" x14ac:dyDescent="0.3">
      <c r="A20" s="1">
        <v>46247</v>
      </c>
      <c r="B20" t="s">
        <v>61</v>
      </c>
      <c r="C20" s="3" t="s">
        <v>68</v>
      </c>
    </row>
    <row r="21" spans="1:4" x14ac:dyDescent="0.3">
      <c r="A21" s="1">
        <f t="shared" ref="A21:A28" si="1">A20+1</f>
        <v>46248</v>
      </c>
      <c r="B21" t="s">
        <v>62</v>
      </c>
      <c r="C21" t="s">
        <v>98</v>
      </c>
      <c r="D21" t="s">
        <v>88</v>
      </c>
    </row>
    <row r="22" spans="1:4" x14ac:dyDescent="0.3">
      <c r="A22" s="1">
        <f t="shared" si="1"/>
        <v>46249</v>
      </c>
      <c r="B22" s="2" t="s">
        <v>63</v>
      </c>
      <c r="C22" t="s">
        <v>89</v>
      </c>
      <c r="D22" t="s">
        <v>93</v>
      </c>
    </row>
    <row r="23" spans="1:4" x14ac:dyDescent="0.3">
      <c r="A23" s="1">
        <f t="shared" si="1"/>
        <v>46250</v>
      </c>
      <c r="B23" s="2" t="s">
        <v>64</v>
      </c>
      <c r="C23" t="s">
        <v>99</v>
      </c>
      <c r="D23" t="s">
        <v>90</v>
      </c>
    </row>
    <row r="24" spans="1:4" x14ac:dyDescent="0.3">
      <c r="A24" s="1">
        <f t="shared" si="1"/>
        <v>46251</v>
      </c>
      <c r="B24" t="s">
        <v>65</v>
      </c>
      <c r="C24" t="s">
        <v>91</v>
      </c>
      <c r="D24" t="s">
        <v>93</v>
      </c>
    </row>
    <row r="25" spans="1:4" x14ac:dyDescent="0.3">
      <c r="A25" s="1">
        <f t="shared" si="1"/>
        <v>46252</v>
      </c>
      <c r="B25" t="s">
        <v>66</v>
      </c>
      <c r="C25" t="s">
        <v>92</v>
      </c>
      <c r="D25" t="s">
        <v>94</v>
      </c>
    </row>
    <row r="26" spans="1:4" x14ac:dyDescent="0.3">
      <c r="A26" s="1">
        <f t="shared" si="1"/>
        <v>46253</v>
      </c>
      <c r="B26" t="s">
        <v>67</v>
      </c>
    </row>
    <row r="27" spans="1:4" x14ac:dyDescent="0.3">
      <c r="A27" s="1">
        <f t="shared" si="1"/>
        <v>46254</v>
      </c>
      <c r="B27" t="s">
        <v>61</v>
      </c>
      <c r="C27" s="3" t="s">
        <v>74</v>
      </c>
    </row>
    <row r="28" spans="1:4" x14ac:dyDescent="0.3">
      <c r="A28" s="1">
        <f t="shared" si="1"/>
        <v>46255</v>
      </c>
      <c r="B28" t="s">
        <v>62</v>
      </c>
    </row>
    <row r="30" spans="1:4" x14ac:dyDescent="0.3">
      <c r="A30" s="4" t="s">
        <v>117</v>
      </c>
    </row>
    <row r="31" spans="1:4" x14ac:dyDescent="0.3">
      <c r="A31" s="1">
        <v>46247</v>
      </c>
      <c r="B31" t="s">
        <v>61</v>
      </c>
      <c r="C31" s="3" t="s">
        <v>68</v>
      </c>
    </row>
    <row r="32" spans="1:4" x14ac:dyDescent="0.3">
      <c r="A32" s="1">
        <f t="shared" ref="A32:A39" si="2">A31+1</f>
        <v>46248</v>
      </c>
      <c r="B32" t="s">
        <v>62</v>
      </c>
      <c r="C32" t="s">
        <v>100</v>
      </c>
      <c r="D32" t="s">
        <v>101</v>
      </c>
    </row>
    <row r="33" spans="1:6" x14ac:dyDescent="0.3">
      <c r="A33" s="1">
        <f t="shared" si="2"/>
        <v>46249</v>
      </c>
      <c r="B33" s="2" t="s">
        <v>63</v>
      </c>
      <c r="D33" t="s">
        <v>102</v>
      </c>
    </row>
    <row r="34" spans="1:6" x14ac:dyDescent="0.3">
      <c r="A34" s="1">
        <f t="shared" si="2"/>
        <v>46250</v>
      </c>
      <c r="B34" s="2" t="s">
        <v>64</v>
      </c>
      <c r="D34" t="s">
        <v>103</v>
      </c>
    </row>
    <row r="35" spans="1:6" x14ac:dyDescent="0.3">
      <c r="A35" s="1">
        <f t="shared" si="2"/>
        <v>46251</v>
      </c>
      <c r="B35" t="s">
        <v>65</v>
      </c>
      <c r="D35" t="s">
        <v>104</v>
      </c>
      <c r="E35" t="s">
        <v>106</v>
      </c>
    </row>
    <row r="36" spans="1:6" x14ac:dyDescent="0.3">
      <c r="A36" s="1">
        <f t="shared" si="2"/>
        <v>46252</v>
      </c>
      <c r="B36" t="s">
        <v>66</v>
      </c>
      <c r="D36" t="s">
        <v>105</v>
      </c>
    </row>
    <row r="37" spans="1:6" x14ac:dyDescent="0.3">
      <c r="A37" s="1">
        <f t="shared" si="2"/>
        <v>46253</v>
      </c>
      <c r="B37" t="s">
        <v>67</v>
      </c>
    </row>
    <row r="38" spans="1:6" x14ac:dyDescent="0.3">
      <c r="A38" s="1">
        <f t="shared" si="2"/>
        <v>46254</v>
      </c>
      <c r="B38" t="s">
        <v>61</v>
      </c>
      <c r="C38" s="3" t="s">
        <v>74</v>
      </c>
    </row>
    <row r="39" spans="1:6" x14ac:dyDescent="0.3">
      <c r="A39" s="1">
        <f t="shared" si="2"/>
        <v>46255</v>
      </c>
      <c r="B39" t="s">
        <v>62</v>
      </c>
    </row>
    <row r="41" spans="1:6" x14ac:dyDescent="0.3">
      <c r="A41" s="4" t="s">
        <v>107</v>
      </c>
    </row>
    <row r="42" spans="1:6" x14ac:dyDescent="0.3">
      <c r="A42" s="1">
        <v>46247</v>
      </c>
      <c r="B42" t="s">
        <v>61</v>
      </c>
      <c r="C42" s="3" t="s">
        <v>68</v>
      </c>
    </row>
    <row r="43" spans="1:6" x14ac:dyDescent="0.3">
      <c r="A43" s="1">
        <f t="shared" ref="A43:A50" si="3">A42+1</f>
        <v>46248</v>
      </c>
      <c r="B43" t="s">
        <v>62</v>
      </c>
      <c r="C43" t="s">
        <v>112</v>
      </c>
      <c r="D43" t="s">
        <v>115</v>
      </c>
      <c r="E43" t="s">
        <v>108</v>
      </c>
      <c r="F43" t="s">
        <v>109</v>
      </c>
    </row>
    <row r="44" spans="1:6" x14ac:dyDescent="0.3">
      <c r="A44" s="1">
        <f t="shared" si="3"/>
        <v>46249</v>
      </c>
      <c r="B44" s="2" t="s">
        <v>63</v>
      </c>
      <c r="D44" t="s">
        <v>113</v>
      </c>
      <c r="F44" t="s">
        <v>110</v>
      </c>
    </row>
    <row r="45" spans="1:6" x14ac:dyDescent="0.3">
      <c r="A45" s="1">
        <f t="shared" si="3"/>
        <v>46250</v>
      </c>
      <c r="B45" s="2" t="s">
        <v>64</v>
      </c>
      <c r="D45" t="s">
        <v>114</v>
      </c>
      <c r="F45" t="s">
        <v>111</v>
      </c>
    </row>
    <row r="46" spans="1:6" x14ac:dyDescent="0.3">
      <c r="A46" s="1">
        <f t="shared" si="3"/>
        <v>46251</v>
      </c>
      <c r="B46" t="s">
        <v>65</v>
      </c>
      <c r="D46" t="s">
        <v>116</v>
      </c>
    </row>
    <row r="47" spans="1:6" x14ac:dyDescent="0.3">
      <c r="A47" s="1">
        <f t="shared" si="3"/>
        <v>46252</v>
      </c>
      <c r="B47" t="s">
        <v>66</v>
      </c>
    </row>
    <row r="48" spans="1:6" x14ac:dyDescent="0.3">
      <c r="A48" s="1">
        <f t="shared" si="3"/>
        <v>46253</v>
      </c>
      <c r="B48" t="s">
        <v>67</v>
      </c>
    </row>
    <row r="49" spans="1:3" x14ac:dyDescent="0.3">
      <c r="A49" s="1">
        <f t="shared" si="3"/>
        <v>46254</v>
      </c>
      <c r="B49" t="s">
        <v>61</v>
      </c>
      <c r="C49" s="3" t="s">
        <v>74</v>
      </c>
    </row>
    <row r="50" spans="1:3" x14ac:dyDescent="0.3">
      <c r="A50" s="1">
        <f t="shared" si="3"/>
        <v>46255</v>
      </c>
      <c r="B50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1E1E-6E5D-4DDC-9C5C-E347C1785F0B}">
  <sheetPr>
    <pageSetUpPr fitToPage="1"/>
  </sheetPr>
  <dimension ref="A1:J33"/>
  <sheetViews>
    <sheetView workbookViewId="0">
      <selection activeCell="C27" sqref="C27"/>
    </sheetView>
  </sheetViews>
  <sheetFormatPr defaultRowHeight="14.4" x14ac:dyDescent="0.3"/>
  <cols>
    <col min="1" max="1" width="9.44140625" bestFit="1" customWidth="1"/>
    <col min="3" max="3" width="103.5546875" bestFit="1" customWidth="1"/>
    <col min="7" max="7" width="9.6640625" bestFit="1" customWidth="1"/>
    <col min="8" max="8" width="9.6640625" customWidth="1"/>
    <col min="9" max="9" width="8.88671875" bestFit="1" customWidth="1"/>
    <col min="10" max="10" width="23.5546875" bestFit="1" customWidth="1"/>
  </cols>
  <sheetData>
    <row r="1" spans="1:10" x14ac:dyDescent="0.3">
      <c r="A1" s="49"/>
      <c r="B1" s="49"/>
      <c r="C1" s="49" t="s">
        <v>250</v>
      </c>
      <c r="D1" s="49" t="s">
        <v>243</v>
      </c>
      <c r="E1" s="49" t="s">
        <v>244</v>
      </c>
      <c r="F1" s="49" t="s">
        <v>245</v>
      </c>
      <c r="G1" s="49" t="s">
        <v>248</v>
      </c>
      <c r="H1" s="49" t="s">
        <v>256</v>
      </c>
      <c r="I1" s="49" t="s">
        <v>246</v>
      </c>
      <c r="J1" s="49" t="s">
        <v>242</v>
      </c>
    </row>
    <row r="2" spans="1:10" x14ac:dyDescent="0.3">
      <c r="A2" s="49"/>
      <c r="B2" s="49"/>
      <c r="C2" s="49" t="s">
        <v>252</v>
      </c>
      <c r="D2" s="49"/>
      <c r="E2" s="49"/>
      <c r="F2" s="49"/>
      <c r="G2" s="49"/>
      <c r="H2" s="49"/>
      <c r="I2" s="49"/>
      <c r="J2" s="49"/>
    </row>
    <row r="3" spans="1:10" x14ac:dyDescent="0.3">
      <c r="A3" s="48">
        <v>46247</v>
      </c>
      <c r="B3" s="49" t="s">
        <v>61</v>
      </c>
      <c r="C3" s="49" t="s">
        <v>236</v>
      </c>
      <c r="D3" s="49"/>
      <c r="E3" s="49"/>
      <c r="F3" s="49"/>
      <c r="G3" s="49"/>
      <c r="H3" s="49"/>
      <c r="I3" s="49"/>
      <c r="J3" s="49"/>
    </row>
    <row r="4" spans="1:10" x14ac:dyDescent="0.3">
      <c r="A4" s="48">
        <f>A3+1</f>
        <v>46248</v>
      </c>
      <c r="B4" s="49" t="s">
        <v>62</v>
      </c>
      <c r="C4" s="49" t="s">
        <v>247</v>
      </c>
      <c r="D4" s="49"/>
      <c r="E4" s="49"/>
      <c r="F4" s="49"/>
      <c r="G4" s="49"/>
      <c r="H4" s="49"/>
      <c r="I4" s="49"/>
      <c r="J4" s="49"/>
    </row>
    <row r="5" spans="1:10" x14ac:dyDescent="0.3">
      <c r="A5" s="48"/>
      <c r="B5" s="49"/>
      <c r="C5" s="49" t="s">
        <v>253</v>
      </c>
      <c r="D5" s="49">
        <v>8.5</v>
      </c>
      <c r="E5" s="49">
        <v>3104</v>
      </c>
      <c r="F5" s="49">
        <v>161</v>
      </c>
      <c r="G5" s="49">
        <v>10663</v>
      </c>
      <c r="H5" s="49">
        <v>10663</v>
      </c>
      <c r="I5" s="49" t="s">
        <v>249</v>
      </c>
      <c r="J5" s="49" t="s">
        <v>251</v>
      </c>
    </row>
    <row r="6" spans="1:10" x14ac:dyDescent="0.3">
      <c r="A6" s="48">
        <f>A4+1</f>
        <v>46249</v>
      </c>
      <c r="B6" s="50" t="s">
        <v>63</v>
      </c>
      <c r="C6" s="49" t="s">
        <v>260</v>
      </c>
      <c r="D6" s="49">
        <v>10.1</v>
      </c>
      <c r="E6" s="49">
        <v>2119</v>
      </c>
      <c r="F6" s="49">
        <v>1421</v>
      </c>
      <c r="G6" s="49">
        <v>11360</v>
      </c>
      <c r="H6" s="49">
        <v>11650</v>
      </c>
      <c r="I6" s="49" t="s">
        <v>258</v>
      </c>
      <c r="J6" s="49" t="s">
        <v>259</v>
      </c>
    </row>
    <row r="7" spans="1:10" x14ac:dyDescent="0.3">
      <c r="A7" s="48"/>
      <c r="B7" s="49"/>
      <c r="C7" s="51" t="s">
        <v>261</v>
      </c>
      <c r="D7" s="52">
        <v>10.199999999999999</v>
      </c>
      <c r="E7" s="52">
        <v>1575</v>
      </c>
      <c r="F7" s="52">
        <v>876</v>
      </c>
      <c r="G7" s="52">
        <v>11360</v>
      </c>
      <c r="H7" s="52">
        <v>11650</v>
      </c>
      <c r="I7" s="51" t="s">
        <v>258</v>
      </c>
      <c r="J7" s="51" t="s">
        <v>259</v>
      </c>
    </row>
    <row r="8" spans="1:10" x14ac:dyDescent="0.3">
      <c r="A8" s="48">
        <f>A6+1</f>
        <v>46250</v>
      </c>
      <c r="B8" s="50" t="s">
        <v>64</v>
      </c>
      <c r="C8" s="49" t="s">
        <v>263</v>
      </c>
      <c r="D8" s="49">
        <v>11.1</v>
      </c>
      <c r="E8" s="49">
        <v>1293</v>
      </c>
      <c r="F8" s="49">
        <v>1864</v>
      </c>
      <c r="G8" s="49">
        <v>10800</v>
      </c>
      <c r="H8" s="49">
        <v>11800</v>
      </c>
      <c r="I8" s="49" t="s">
        <v>262</v>
      </c>
      <c r="J8" s="49" t="s">
        <v>264</v>
      </c>
    </row>
    <row r="9" spans="1:10" x14ac:dyDescent="0.3">
      <c r="A9" s="48"/>
      <c r="B9" s="49"/>
      <c r="C9" s="51" t="s">
        <v>267</v>
      </c>
      <c r="D9" s="52">
        <v>12.7</v>
      </c>
      <c r="E9" s="52">
        <v>1437</v>
      </c>
      <c r="F9" s="52">
        <v>2477</v>
      </c>
      <c r="G9" s="52">
        <v>10300</v>
      </c>
      <c r="H9" s="52">
        <v>11800</v>
      </c>
      <c r="I9" s="51" t="s">
        <v>265</v>
      </c>
      <c r="J9" s="51" t="s">
        <v>266</v>
      </c>
    </row>
    <row r="10" spans="1:10" x14ac:dyDescent="0.3">
      <c r="A10" s="48">
        <f>A8+1</f>
        <v>46251</v>
      </c>
      <c r="B10" s="49" t="s">
        <v>65</v>
      </c>
      <c r="C10" s="49" t="s">
        <v>268</v>
      </c>
      <c r="D10" s="49">
        <v>11.4</v>
      </c>
      <c r="E10" s="49">
        <v>2047</v>
      </c>
      <c r="F10" s="49">
        <v>1860</v>
      </c>
      <c r="G10" s="49">
        <v>11000</v>
      </c>
      <c r="H10" s="49">
        <v>11000</v>
      </c>
      <c r="I10" s="49" t="s">
        <v>270</v>
      </c>
      <c r="J10" s="49" t="s">
        <v>269</v>
      </c>
    </row>
    <row r="11" spans="1:10" x14ac:dyDescent="0.3">
      <c r="A11" s="48">
        <f t="shared" ref="A11:A14" si="0">A10+1</f>
        <v>46252</v>
      </c>
      <c r="B11" s="49" t="s">
        <v>66</v>
      </c>
      <c r="C11" s="49" t="s">
        <v>271</v>
      </c>
      <c r="D11" s="49">
        <v>7</v>
      </c>
      <c r="E11" s="49">
        <v>679</v>
      </c>
      <c r="F11" s="49">
        <v>843</v>
      </c>
      <c r="G11" s="49">
        <v>10820</v>
      </c>
      <c r="H11" s="49">
        <v>11000</v>
      </c>
      <c r="I11" s="49" t="s">
        <v>265</v>
      </c>
      <c r="J11" s="49" t="s">
        <v>272</v>
      </c>
    </row>
    <row r="12" spans="1:10" x14ac:dyDescent="0.3">
      <c r="A12" s="48"/>
      <c r="B12" s="49"/>
      <c r="C12" s="49" t="s">
        <v>275</v>
      </c>
      <c r="D12" s="52">
        <v>2</v>
      </c>
      <c r="E12" s="52">
        <v>1000</v>
      </c>
      <c r="F12" s="52">
        <v>1000</v>
      </c>
      <c r="G12" s="49"/>
      <c r="H12" s="49"/>
      <c r="I12" s="49"/>
      <c r="J12" s="49"/>
    </row>
    <row r="13" spans="1:10" x14ac:dyDescent="0.3">
      <c r="A13" s="48">
        <f>A11+1</f>
        <v>46253</v>
      </c>
      <c r="B13" s="49" t="s">
        <v>67</v>
      </c>
      <c r="C13" s="49" t="s">
        <v>276</v>
      </c>
      <c r="D13" s="49">
        <v>9.4</v>
      </c>
      <c r="E13" s="49">
        <v>541</v>
      </c>
      <c r="F13" s="49">
        <v>3642</v>
      </c>
      <c r="G13" s="49" t="s">
        <v>273</v>
      </c>
      <c r="H13" s="49">
        <v>10820</v>
      </c>
      <c r="I13" s="49"/>
      <c r="J13" s="49"/>
    </row>
    <row r="14" spans="1:10" x14ac:dyDescent="0.3">
      <c r="A14" s="48">
        <f t="shared" si="0"/>
        <v>46254</v>
      </c>
      <c r="B14" s="49" t="s">
        <v>61</v>
      </c>
      <c r="C14" s="53" t="s">
        <v>235</v>
      </c>
      <c r="D14" s="49"/>
      <c r="E14" s="49"/>
      <c r="F14" s="49"/>
      <c r="G14" s="49"/>
      <c r="H14" s="49"/>
      <c r="I14" s="49"/>
      <c r="J14" s="49"/>
    </row>
    <row r="15" spans="1:10" x14ac:dyDescent="0.3">
      <c r="A15" s="49"/>
      <c r="B15" s="49"/>
      <c r="C15" s="49"/>
      <c r="D15" s="49"/>
      <c r="E15" s="49"/>
      <c r="F15" s="49"/>
      <c r="G15" s="49"/>
      <c r="H15" s="49"/>
      <c r="I15" s="49"/>
      <c r="J15" s="49"/>
    </row>
    <row r="16" spans="1:10" x14ac:dyDescent="0.3">
      <c r="A16" s="49"/>
      <c r="B16" s="49"/>
      <c r="C16" s="49" t="s">
        <v>274</v>
      </c>
      <c r="D16" s="49">
        <v>57.5</v>
      </c>
      <c r="E16" s="49">
        <v>9780</v>
      </c>
      <c r="F16" s="49">
        <v>9780</v>
      </c>
      <c r="G16" s="49"/>
      <c r="H16" s="49"/>
      <c r="I16" s="49"/>
      <c r="J16" s="49"/>
    </row>
    <row r="22" spans="1:8" x14ac:dyDescent="0.3">
      <c r="A22" t="s">
        <v>257</v>
      </c>
    </row>
    <row r="23" spans="1:8" x14ac:dyDescent="0.3">
      <c r="B23" t="s">
        <v>254</v>
      </c>
    </row>
    <row r="24" spans="1:8" x14ac:dyDescent="0.3">
      <c r="B24" t="s">
        <v>35</v>
      </c>
      <c r="D24">
        <v>9</v>
      </c>
      <c r="E24">
        <v>3100</v>
      </c>
      <c r="G24">
        <v>10600</v>
      </c>
      <c r="H24">
        <v>10600</v>
      </c>
    </row>
    <row r="25" spans="1:8" x14ac:dyDescent="0.3">
      <c r="B25" t="s">
        <v>36</v>
      </c>
      <c r="D25">
        <v>9</v>
      </c>
      <c r="E25">
        <v>2500</v>
      </c>
      <c r="G25">
        <v>11800</v>
      </c>
      <c r="H25">
        <v>12000</v>
      </c>
    </row>
    <row r="26" spans="1:8" x14ac:dyDescent="0.3">
      <c r="B26" t="s">
        <v>38</v>
      </c>
      <c r="D26">
        <v>9.5</v>
      </c>
      <c r="E26">
        <v>978</v>
      </c>
      <c r="G26">
        <v>10840</v>
      </c>
      <c r="H26">
        <v>12000</v>
      </c>
    </row>
    <row r="27" spans="1:8" x14ac:dyDescent="0.3">
      <c r="B27" t="s">
        <v>40</v>
      </c>
      <c r="D27">
        <v>8.6</v>
      </c>
      <c r="E27">
        <v>600</v>
      </c>
      <c r="H27">
        <v>10840</v>
      </c>
    </row>
    <row r="29" spans="1:8" x14ac:dyDescent="0.3">
      <c r="B29" t="s">
        <v>255</v>
      </c>
    </row>
    <row r="30" spans="1:8" x14ac:dyDescent="0.3">
      <c r="B30" t="s">
        <v>35</v>
      </c>
      <c r="D30">
        <v>1.6</v>
      </c>
      <c r="E30">
        <v>226</v>
      </c>
      <c r="G30">
        <v>8226</v>
      </c>
      <c r="H30">
        <v>8226</v>
      </c>
    </row>
    <row r="31" spans="1:8" x14ac:dyDescent="0.3">
      <c r="B31" t="s">
        <v>36</v>
      </c>
      <c r="D31">
        <v>10.6</v>
      </c>
      <c r="E31">
        <v>2631</v>
      </c>
      <c r="G31">
        <v>8849</v>
      </c>
      <c r="H31">
        <v>9509</v>
      </c>
    </row>
    <row r="32" spans="1:8" x14ac:dyDescent="0.3">
      <c r="B32" t="s">
        <v>38</v>
      </c>
      <c r="D32">
        <v>13.5</v>
      </c>
      <c r="E32">
        <v>3960</v>
      </c>
      <c r="G32">
        <v>9201</v>
      </c>
      <c r="H32">
        <v>11664</v>
      </c>
    </row>
    <row r="33" spans="2:8" x14ac:dyDescent="0.3">
      <c r="B33" t="s">
        <v>40</v>
      </c>
      <c r="D33">
        <v>3.1</v>
      </c>
      <c r="E33">
        <v>154</v>
      </c>
      <c r="H33">
        <v>9201</v>
      </c>
    </row>
  </sheetData>
  <pageMargins left="0.7" right="0.7" top="0.75" bottom="0.75" header="0.3" footer="0.3"/>
  <pageSetup scale="61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3DFB-8D2E-4427-877A-C13E3553D4B9}">
  <sheetPr>
    <pageSetUpPr fitToPage="1"/>
  </sheetPr>
  <dimension ref="A1:AH107"/>
  <sheetViews>
    <sheetView tabSelected="1" zoomScale="70" zoomScaleNormal="70" workbookViewId="0">
      <pane ySplit="1" topLeftCell="A2" activePane="bottomLeft" state="frozen"/>
      <selection pane="bottomLeft" activeCell="L75" sqref="L75"/>
    </sheetView>
  </sheetViews>
  <sheetFormatPr defaultColWidth="9.109375" defaultRowHeight="14.4" x14ac:dyDescent="0.3"/>
  <cols>
    <col min="1" max="1" width="22.6640625" style="5" customWidth="1"/>
    <col min="2" max="2" width="35.109375" style="5" bestFit="1" customWidth="1"/>
    <col min="3" max="3" width="6" style="6" bestFit="1" customWidth="1"/>
    <col min="4" max="4" width="6.33203125" style="6" bestFit="1" customWidth="1"/>
    <col min="5" max="5" width="7.44140625" style="6" bestFit="1" customWidth="1"/>
    <col min="6" max="6" width="4.33203125" style="6" bestFit="1" customWidth="1"/>
    <col min="7" max="7" width="4" style="6" bestFit="1" customWidth="1"/>
    <col min="8" max="8" width="5.44140625" style="6" customWidth="1"/>
    <col min="9" max="9" width="7.44140625" style="5" bestFit="1" customWidth="1"/>
    <col min="10" max="10" width="5" style="5" bestFit="1" customWidth="1"/>
    <col min="11" max="11" width="9.109375" style="5"/>
    <col min="12" max="12" width="9.109375" style="6"/>
    <col min="13" max="13" width="2" style="5" customWidth="1"/>
    <col min="14" max="14" width="19.44140625" style="5" bestFit="1" customWidth="1"/>
    <col min="15" max="15" width="35.109375" style="5" bestFit="1" customWidth="1"/>
    <col min="16" max="16" width="7.6640625" style="6" bestFit="1" customWidth="1"/>
    <col min="17" max="17" width="5" style="6" customWidth="1"/>
    <col min="18" max="18" width="6.33203125" style="6" customWidth="1"/>
    <col min="19" max="19" width="4.33203125" style="6" customWidth="1"/>
    <col min="20" max="20" width="4" style="6" customWidth="1"/>
    <col min="21" max="21" width="5.44140625" style="6" customWidth="1"/>
    <col min="22" max="22" width="7.44140625" style="5" bestFit="1" customWidth="1"/>
    <col min="23" max="23" width="6.33203125" style="5" bestFit="1" customWidth="1"/>
    <col min="24" max="24" width="9.109375" style="5"/>
    <col min="25" max="25" width="9.109375" style="6"/>
    <col min="26" max="27" width="2" style="5" customWidth="1"/>
    <col min="28" max="28" width="57.44140625" style="5" bestFit="1" customWidth="1"/>
    <col min="29" max="30" width="2" style="5" customWidth="1"/>
    <col min="31" max="16384" width="9.109375" style="5"/>
  </cols>
  <sheetData>
    <row r="1" spans="1:28" x14ac:dyDescent="0.3">
      <c r="B1" s="26" t="s">
        <v>343</v>
      </c>
      <c r="C1" s="41" t="s">
        <v>216</v>
      </c>
      <c r="D1" s="41" t="s">
        <v>215</v>
      </c>
      <c r="E1" s="41" t="s">
        <v>214</v>
      </c>
      <c r="F1" s="41" t="s">
        <v>213</v>
      </c>
      <c r="G1" s="41" t="s">
        <v>212</v>
      </c>
      <c r="H1" s="41"/>
      <c r="I1" s="26" t="s">
        <v>211</v>
      </c>
      <c r="J1" s="26" t="s">
        <v>210</v>
      </c>
      <c r="K1" s="26"/>
      <c r="L1" s="41" t="s">
        <v>209</v>
      </c>
      <c r="O1" s="26" t="s">
        <v>342</v>
      </c>
      <c r="P1" s="41" t="s">
        <v>216</v>
      </c>
      <c r="Q1" s="41" t="s">
        <v>215</v>
      </c>
      <c r="R1" s="41" t="s">
        <v>214</v>
      </c>
      <c r="S1" s="41" t="s">
        <v>213</v>
      </c>
      <c r="T1" s="41" t="s">
        <v>212</v>
      </c>
      <c r="U1" s="41"/>
      <c r="V1" s="26" t="s">
        <v>211</v>
      </c>
      <c r="W1" s="26" t="s">
        <v>210</v>
      </c>
      <c r="X1" s="26"/>
      <c r="Y1" s="41" t="s">
        <v>209</v>
      </c>
      <c r="AB1" s="5" t="s">
        <v>208</v>
      </c>
    </row>
    <row r="2" spans="1:28" x14ac:dyDescent="0.3">
      <c r="A2" s="54" t="s">
        <v>206</v>
      </c>
      <c r="B2" s="9" t="s">
        <v>207</v>
      </c>
      <c r="C2" s="8" t="s">
        <v>154</v>
      </c>
      <c r="D2" s="8"/>
      <c r="E2" s="8"/>
      <c r="F2" s="8"/>
      <c r="G2" s="8" t="s">
        <v>154</v>
      </c>
      <c r="H2" s="8"/>
      <c r="I2" s="26">
        <v>35</v>
      </c>
      <c r="J2" s="9">
        <f>I2/16</f>
        <v>2.1875</v>
      </c>
      <c r="K2" s="9"/>
      <c r="L2" s="67">
        <f>I2+I3</f>
        <v>35</v>
      </c>
      <c r="N2" s="19" t="s">
        <v>206</v>
      </c>
      <c r="O2" s="5" t="s">
        <v>205</v>
      </c>
      <c r="P2" s="8" t="s">
        <v>154</v>
      </c>
      <c r="Q2" s="8"/>
      <c r="R2" s="8"/>
      <c r="S2" s="8"/>
      <c r="T2" s="8" t="s">
        <v>154</v>
      </c>
      <c r="U2" s="26"/>
      <c r="V2" s="9">
        <v>32.1</v>
      </c>
      <c r="W2" s="9">
        <f>V2/16</f>
        <v>2.0062500000000001</v>
      </c>
      <c r="X2" s="9"/>
      <c r="Y2" s="8"/>
    </row>
    <row r="3" spans="1:28" ht="15" thickBot="1" x14ac:dyDescent="0.35">
      <c r="A3" s="59"/>
      <c r="B3" s="32"/>
      <c r="C3" s="39"/>
      <c r="D3" s="39"/>
      <c r="E3" s="39"/>
      <c r="F3" s="39"/>
      <c r="G3" s="39"/>
      <c r="H3" s="39"/>
      <c r="I3" s="33"/>
      <c r="J3" s="32"/>
      <c r="K3" s="32">
        <f>I2+I3</f>
        <v>35</v>
      </c>
      <c r="L3" s="68"/>
      <c r="M3" s="18"/>
      <c r="N3" s="35"/>
      <c r="O3" s="32"/>
      <c r="P3" s="39" t="s">
        <v>154</v>
      </c>
      <c r="Q3" s="39"/>
      <c r="R3" s="39"/>
      <c r="S3" s="39"/>
      <c r="T3" s="39" t="s">
        <v>154</v>
      </c>
      <c r="U3" s="39"/>
      <c r="V3" s="33"/>
      <c r="W3" s="32"/>
      <c r="X3" s="32">
        <f>W2+W3</f>
        <v>2.0062500000000001</v>
      </c>
      <c r="Y3" s="39">
        <f>SUM(V2:V3)</f>
        <v>32.1</v>
      </c>
    </row>
    <row r="4" spans="1:28" x14ac:dyDescent="0.3">
      <c r="A4" s="54" t="s">
        <v>204</v>
      </c>
      <c r="J4" s="9"/>
      <c r="L4" s="8">
        <f>I4</f>
        <v>0</v>
      </c>
      <c r="N4" s="54" t="s">
        <v>204</v>
      </c>
      <c r="O4" s="42" t="s">
        <v>341</v>
      </c>
      <c r="P4" s="6" t="s">
        <v>154</v>
      </c>
      <c r="V4" s="40">
        <v>61.5</v>
      </c>
      <c r="W4" s="9">
        <f>V4/16</f>
        <v>3.84375</v>
      </c>
      <c r="Y4" s="65">
        <f>SUM(V4:V6)</f>
        <v>86.2</v>
      </c>
    </row>
    <row r="5" spans="1:28" x14ac:dyDescent="0.3">
      <c r="A5" s="54"/>
      <c r="J5" s="9"/>
      <c r="L5" s="8"/>
      <c r="N5" s="54"/>
      <c r="O5" s="42" t="s">
        <v>203</v>
      </c>
      <c r="P5" s="6" t="s">
        <v>154</v>
      </c>
      <c r="V5" s="5">
        <v>7</v>
      </c>
      <c r="W5" s="9">
        <f>V5/16</f>
        <v>0.4375</v>
      </c>
      <c r="Y5" s="56"/>
    </row>
    <row r="6" spans="1:28" ht="15" thickBot="1" x14ac:dyDescent="0.35">
      <c r="A6" s="54"/>
      <c r="B6" s="18"/>
      <c r="C6" s="34"/>
      <c r="D6" s="34"/>
      <c r="E6" s="34"/>
      <c r="F6" s="34"/>
      <c r="G6" s="34"/>
      <c r="H6" s="34"/>
      <c r="I6" s="18"/>
      <c r="J6" s="32"/>
      <c r="K6" s="32">
        <f>SUM(J4:J6)</f>
        <v>0</v>
      </c>
      <c r="L6" s="39">
        <f>I6</f>
        <v>0</v>
      </c>
      <c r="N6" s="54"/>
      <c r="O6" s="43" t="s">
        <v>340</v>
      </c>
      <c r="P6" s="34" t="s">
        <v>154</v>
      </c>
      <c r="Q6" s="34"/>
      <c r="R6" s="34"/>
      <c r="S6" s="34"/>
      <c r="T6" s="34"/>
      <c r="U6" s="34"/>
      <c r="V6" s="18">
        <v>17.7</v>
      </c>
      <c r="W6" s="32">
        <f t="shared" ref="W6" si="0">V6/16</f>
        <v>1.10625</v>
      </c>
      <c r="X6" s="32">
        <f>SUM(W4:W6)</f>
        <v>5.3875000000000002</v>
      </c>
      <c r="Y6" s="66"/>
    </row>
    <row r="7" spans="1:28" x14ac:dyDescent="0.3">
      <c r="A7" s="57" t="s">
        <v>202</v>
      </c>
      <c r="B7" s="9" t="s">
        <v>335</v>
      </c>
      <c r="C7" s="8" t="s">
        <v>154</v>
      </c>
      <c r="D7" s="8"/>
      <c r="E7" s="8"/>
      <c r="F7" s="8"/>
      <c r="G7" s="8"/>
      <c r="H7" s="8"/>
      <c r="I7" s="26">
        <v>15.7</v>
      </c>
      <c r="J7" s="9">
        <f>I7/16</f>
        <v>0.98124999999999996</v>
      </c>
      <c r="K7" s="9"/>
      <c r="L7" s="63">
        <f>SUM(I7:I13)</f>
        <v>59.20000000000001</v>
      </c>
      <c r="N7" s="57" t="s">
        <v>202</v>
      </c>
      <c r="O7" s="9" t="s">
        <v>201</v>
      </c>
      <c r="P7" s="8" t="s">
        <v>154</v>
      </c>
      <c r="Q7" s="8"/>
      <c r="R7" s="8"/>
      <c r="S7" s="8"/>
      <c r="T7" s="8"/>
      <c r="U7" s="8"/>
      <c r="V7" s="5">
        <v>10.7</v>
      </c>
      <c r="W7" s="9">
        <f>V7/16</f>
        <v>0.66874999999999996</v>
      </c>
      <c r="X7" s="9"/>
      <c r="Y7" s="65">
        <f>SUM(V7:V13)</f>
        <v>54.2</v>
      </c>
    </row>
    <row r="8" spans="1:28" x14ac:dyDescent="0.3">
      <c r="A8" s="54"/>
      <c r="B8" s="5" t="s">
        <v>200</v>
      </c>
      <c r="C8" s="6" t="s">
        <v>154</v>
      </c>
      <c r="I8" s="26">
        <f>33.6-2.7</f>
        <v>30.900000000000002</v>
      </c>
      <c r="J8" s="9">
        <f>I8/16</f>
        <v>1.9312500000000001</v>
      </c>
      <c r="K8" s="9"/>
      <c r="L8" s="58"/>
      <c r="N8" s="54"/>
      <c r="O8" s="9" t="s">
        <v>199</v>
      </c>
      <c r="P8" s="8" t="s">
        <v>154</v>
      </c>
      <c r="Q8" s="8"/>
      <c r="R8" s="8"/>
      <c r="S8" s="8"/>
      <c r="T8" s="8"/>
      <c r="U8" s="8"/>
      <c r="V8" s="5">
        <v>30.9</v>
      </c>
      <c r="W8" s="9">
        <f>V8/16</f>
        <v>1.9312499999999999</v>
      </c>
      <c r="X8" s="9"/>
      <c r="Y8" s="56"/>
    </row>
    <row r="9" spans="1:28" x14ac:dyDescent="0.3">
      <c r="A9" s="54"/>
      <c r="B9" s="9" t="s">
        <v>165</v>
      </c>
      <c r="C9" s="8" t="s">
        <v>154</v>
      </c>
      <c r="D9" s="8"/>
      <c r="E9" s="8"/>
      <c r="F9" s="8"/>
      <c r="G9" s="8"/>
      <c r="H9" s="8"/>
      <c r="I9" s="26">
        <v>3.2</v>
      </c>
      <c r="J9" s="9">
        <f>I9/16</f>
        <v>0.2</v>
      </c>
      <c r="K9" s="9"/>
      <c r="L9" s="58"/>
      <c r="N9" s="54"/>
      <c r="O9" s="9" t="s">
        <v>165</v>
      </c>
      <c r="P9" s="8" t="s">
        <v>154</v>
      </c>
      <c r="Q9" s="8"/>
      <c r="R9" s="8"/>
      <c r="S9" s="8"/>
      <c r="T9" s="8"/>
      <c r="U9" s="8"/>
      <c r="V9" s="26">
        <v>3.2</v>
      </c>
      <c r="W9" s="9">
        <f>V9/16</f>
        <v>0.2</v>
      </c>
      <c r="X9" s="9"/>
      <c r="Y9" s="56"/>
    </row>
    <row r="10" spans="1:28" x14ac:dyDescent="0.3">
      <c r="A10" s="54"/>
      <c r="B10" s="9"/>
      <c r="C10" s="8"/>
      <c r="D10" s="8"/>
      <c r="E10" s="8"/>
      <c r="F10" s="8"/>
      <c r="G10" s="8"/>
      <c r="H10" s="8"/>
      <c r="I10" s="26"/>
      <c r="J10" s="9"/>
      <c r="K10" s="9"/>
      <c r="L10" s="58"/>
      <c r="N10" s="54"/>
      <c r="O10" s="9"/>
      <c r="P10" s="8"/>
      <c r="Q10" s="8"/>
      <c r="R10" s="8"/>
      <c r="S10" s="8"/>
      <c r="T10" s="8"/>
      <c r="U10" s="8"/>
      <c r="W10" s="9"/>
      <c r="X10" s="9"/>
      <c r="Y10" s="56"/>
    </row>
    <row r="11" spans="1:28" ht="15" thickBot="1" x14ac:dyDescent="0.35">
      <c r="A11" s="59"/>
      <c r="B11" s="32" t="s">
        <v>198</v>
      </c>
      <c r="C11" s="39" t="s">
        <v>154</v>
      </c>
      <c r="D11" s="39"/>
      <c r="E11" s="39"/>
      <c r="F11" s="39"/>
      <c r="G11" s="39"/>
      <c r="H11" s="39"/>
      <c r="I11" s="33">
        <v>2.7</v>
      </c>
      <c r="J11" s="32">
        <f>I11/16</f>
        <v>0.16875000000000001</v>
      </c>
      <c r="K11" s="32">
        <f>SUM(J7:J11)</f>
        <v>3.2812500000000004</v>
      </c>
      <c r="L11" s="58"/>
      <c r="N11" s="59"/>
      <c r="O11" s="32" t="s">
        <v>198</v>
      </c>
      <c r="P11" s="39" t="s">
        <v>154</v>
      </c>
      <c r="Q11" s="39"/>
      <c r="R11" s="39"/>
      <c r="S11" s="39"/>
      <c r="T11" s="39"/>
      <c r="U11" s="39"/>
      <c r="V11" s="18">
        <v>2.7</v>
      </c>
      <c r="W11" s="32">
        <f t="shared" ref="W11:W20" si="1">V11/16</f>
        <v>0.16875000000000001</v>
      </c>
      <c r="X11" s="32">
        <f>SUM(W7:W11)</f>
        <v>2.96875</v>
      </c>
      <c r="Y11" s="56"/>
    </row>
    <row r="12" spans="1:28" x14ac:dyDescent="0.3">
      <c r="A12" s="54"/>
      <c r="B12" s="9" t="s">
        <v>143</v>
      </c>
      <c r="C12" s="8"/>
      <c r="D12" s="8" t="s">
        <v>154</v>
      </c>
      <c r="E12" s="8"/>
      <c r="F12" s="8"/>
      <c r="G12" s="8"/>
      <c r="H12" s="5"/>
      <c r="I12" s="26">
        <v>2.6</v>
      </c>
      <c r="J12" s="9">
        <f>I12/16</f>
        <v>0.16250000000000001</v>
      </c>
      <c r="K12" s="9"/>
      <c r="L12" s="58"/>
      <c r="N12" s="54"/>
      <c r="O12" s="9" t="s">
        <v>143</v>
      </c>
      <c r="P12" s="8"/>
      <c r="Q12" s="8" t="s">
        <v>154</v>
      </c>
      <c r="R12" s="8"/>
      <c r="S12" s="8"/>
      <c r="T12" s="8"/>
      <c r="U12" s="5"/>
      <c r="V12" s="5">
        <v>2.6</v>
      </c>
      <c r="W12" s="9">
        <f t="shared" si="1"/>
        <v>0.16250000000000001</v>
      </c>
      <c r="X12" s="9"/>
      <c r="Y12" s="56"/>
    </row>
    <row r="13" spans="1:28" ht="15" thickBot="1" x14ac:dyDescent="0.35">
      <c r="A13" s="59"/>
      <c r="B13" s="32" t="s">
        <v>142</v>
      </c>
      <c r="C13" s="39"/>
      <c r="D13" s="39" t="s">
        <v>154</v>
      </c>
      <c r="E13" s="39"/>
      <c r="F13" s="39"/>
      <c r="G13" s="39"/>
      <c r="H13" s="32"/>
      <c r="I13" s="33">
        <v>4.0999999999999996</v>
      </c>
      <c r="J13" s="32">
        <f>I13/16</f>
        <v>0.25624999999999998</v>
      </c>
      <c r="K13" s="32">
        <f>SUM(J12:J13)</f>
        <v>0.41874999999999996</v>
      </c>
      <c r="L13" s="64"/>
      <c r="N13" s="59"/>
      <c r="O13" s="32" t="s">
        <v>142</v>
      </c>
      <c r="P13" s="39"/>
      <c r="Q13" s="39" t="s">
        <v>154</v>
      </c>
      <c r="R13" s="39"/>
      <c r="S13" s="39"/>
      <c r="T13" s="39"/>
      <c r="U13" s="32"/>
      <c r="V13" s="18">
        <v>4.0999999999999996</v>
      </c>
      <c r="W13" s="32">
        <f t="shared" si="1"/>
        <v>0.25624999999999998</v>
      </c>
      <c r="X13" s="32">
        <f>SUM(W12:W13)</f>
        <v>0.41874999999999996</v>
      </c>
      <c r="Y13" s="66"/>
    </row>
    <row r="14" spans="1:28" x14ac:dyDescent="0.3">
      <c r="A14" s="54" t="s">
        <v>197</v>
      </c>
      <c r="B14" s="5" t="s">
        <v>196</v>
      </c>
      <c r="C14" s="6" t="s">
        <v>154</v>
      </c>
      <c r="G14" s="6" t="s">
        <v>154</v>
      </c>
      <c r="I14" s="26">
        <v>3</v>
      </c>
      <c r="J14" s="9">
        <f>I14/16</f>
        <v>0.1875</v>
      </c>
      <c r="K14" s="9"/>
      <c r="L14" s="8"/>
      <c r="N14" s="54" t="s">
        <v>197</v>
      </c>
      <c r="O14" s="5" t="s">
        <v>196</v>
      </c>
      <c r="P14" s="6" t="s">
        <v>154</v>
      </c>
      <c r="T14" s="6" t="s">
        <v>154</v>
      </c>
      <c r="V14" s="5">
        <v>3</v>
      </c>
      <c r="W14" s="9">
        <f t="shared" si="1"/>
        <v>0.1875</v>
      </c>
      <c r="X14" s="9"/>
      <c r="Y14" s="8"/>
    </row>
    <row r="15" spans="1:28" x14ac:dyDescent="0.3">
      <c r="A15" s="54"/>
      <c r="B15"/>
      <c r="I15"/>
      <c r="J15" s="38"/>
      <c r="K15" s="9"/>
      <c r="L15" s="56"/>
      <c r="N15" s="54"/>
      <c r="O15" s="42" t="s">
        <v>195</v>
      </c>
      <c r="P15" s="6" t="s">
        <v>154</v>
      </c>
      <c r="V15">
        <v>15.2</v>
      </c>
      <c r="W15" s="38">
        <f t="shared" si="1"/>
        <v>0.95</v>
      </c>
      <c r="X15" s="9"/>
      <c r="Y15" s="56">
        <f>SUM(V15:V18)</f>
        <v>22.7</v>
      </c>
    </row>
    <row r="16" spans="1:28" x14ac:dyDescent="0.3">
      <c r="A16" s="54"/>
      <c r="D16" s="9"/>
      <c r="J16" s="9"/>
      <c r="K16" s="9"/>
      <c r="L16" s="56"/>
      <c r="N16" s="54"/>
      <c r="O16" s="42" t="s">
        <v>194</v>
      </c>
      <c r="P16" s="6" t="s">
        <v>154</v>
      </c>
      <c r="Q16" s="9"/>
      <c r="V16" s="5">
        <v>0.4</v>
      </c>
      <c r="W16" s="9">
        <f t="shared" si="1"/>
        <v>2.5000000000000001E-2</v>
      </c>
      <c r="X16" s="9"/>
      <c r="Y16" s="56"/>
    </row>
    <row r="17" spans="1:34" x14ac:dyDescent="0.3">
      <c r="A17" s="54"/>
      <c r="J17" s="9"/>
      <c r="L17" s="56"/>
      <c r="N17" s="54"/>
      <c r="O17" t="s">
        <v>193</v>
      </c>
      <c r="P17" s="6" t="s">
        <v>154</v>
      </c>
      <c r="V17" s="5">
        <v>3.6</v>
      </c>
      <c r="W17" s="9">
        <f t="shared" si="1"/>
        <v>0.22500000000000001</v>
      </c>
      <c r="Y17" s="56"/>
    </row>
    <row r="18" spans="1:34" x14ac:dyDescent="0.3">
      <c r="A18" s="54"/>
      <c r="J18" s="9"/>
      <c r="L18" s="56"/>
      <c r="N18" s="54"/>
      <c r="O18" t="s">
        <v>192</v>
      </c>
      <c r="R18" s="6" t="s">
        <v>154</v>
      </c>
      <c r="V18" s="5">
        <v>3.5</v>
      </c>
      <c r="W18" s="9">
        <f t="shared" si="1"/>
        <v>0.21875</v>
      </c>
      <c r="Y18" s="56"/>
    </row>
    <row r="19" spans="1:34" x14ac:dyDescent="0.3">
      <c r="A19" s="54"/>
      <c r="B19" s="5" t="s">
        <v>191</v>
      </c>
      <c r="C19" s="6" t="s">
        <v>154</v>
      </c>
      <c r="I19" s="5">
        <v>2.1</v>
      </c>
      <c r="J19" s="9">
        <f t="shared" ref="J19:J25" si="2">I19/16</f>
        <v>0.13125000000000001</v>
      </c>
      <c r="L19" s="56"/>
      <c r="N19" s="54"/>
      <c r="O19" s="5" t="s">
        <v>191</v>
      </c>
      <c r="P19" s="6" t="s">
        <v>154</v>
      </c>
      <c r="V19" s="5">
        <v>2.1</v>
      </c>
      <c r="W19" s="9">
        <f t="shared" si="1"/>
        <v>0.13125000000000001</v>
      </c>
      <c r="Y19" s="56">
        <f>SUM(V19:V20)</f>
        <v>2.6</v>
      </c>
    </row>
    <row r="20" spans="1:34" x14ac:dyDescent="0.3">
      <c r="A20" s="54"/>
      <c r="B20" s="5" t="s">
        <v>190</v>
      </c>
      <c r="C20" s="6" t="s">
        <v>154</v>
      </c>
      <c r="I20" s="5">
        <f>0.5</f>
        <v>0.5</v>
      </c>
      <c r="J20" s="9">
        <f t="shared" si="2"/>
        <v>3.125E-2</v>
      </c>
      <c r="L20" s="56"/>
      <c r="N20" s="54"/>
      <c r="O20" s="5" t="s">
        <v>189</v>
      </c>
      <c r="P20" s="6" t="s">
        <v>154</v>
      </c>
      <c r="V20" s="5">
        <f>0.5</f>
        <v>0.5</v>
      </c>
      <c r="W20" s="9">
        <f t="shared" si="1"/>
        <v>3.125E-2</v>
      </c>
      <c r="Y20" s="56"/>
    </row>
    <row r="21" spans="1:34" x14ac:dyDescent="0.3">
      <c r="A21" s="54"/>
      <c r="B21" s="5" t="s">
        <v>188</v>
      </c>
      <c r="E21" s="6" t="s">
        <v>154</v>
      </c>
      <c r="I21" s="37">
        <v>3.5</v>
      </c>
      <c r="J21" s="36">
        <f t="shared" si="2"/>
        <v>0.21875</v>
      </c>
      <c r="L21" s="56"/>
      <c r="N21" s="54"/>
      <c r="Y21" s="56">
        <f>SUM(V21:V23)</f>
        <v>0</v>
      </c>
    </row>
    <row r="22" spans="1:34" x14ac:dyDescent="0.3">
      <c r="A22" s="54"/>
      <c r="B22" s="5" t="s">
        <v>187</v>
      </c>
      <c r="E22" s="6" t="s">
        <v>154</v>
      </c>
      <c r="F22" s="6" t="s">
        <v>154</v>
      </c>
      <c r="I22" s="5">
        <v>2.5</v>
      </c>
      <c r="J22" s="9">
        <f t="shared" si="2"/>
        <v>0.15625</v>
      </c>
      <c r="L22" s="56"/>
      <c r="N22" s="54"/>
      <c r="Y22" s="56"/>
    </row>
    <row r="23" spans="1:34" x14ac:dyDescent="0.3">
      <c r="A23" s="54"/>
      <c r="B23" t="s">
        <v>186</v>
      </c>
      <c r="C23" s="6" t="s">
        <v>154</v>
      </c>
      <c r="I23" s="5">
        <v>0.7</v>
      </c>
      <c r="J23" s="9">
        <f t="shared" si="2"/>
        <v>4.3749999999999997E-2</v>
      </c>
      <c r="L23" s="56"/>
      <c r="N23" s="54"/>
      <c r="Y23" s="56"/>
    </row>
    <row r="24" spans="1:34" x14ac:dyDescent="0.3">
      <c r="A24" s="54"/>
      <c r="B24" t="s">
        <v>185</v>
      </c>
      <c r="C24" s="6" t="s">
        <v>154</v>
      </c>
      <c r="I24" s="26">
        <v>3.2</v>
      </c>
      <c r="J24" s="9">
        <f t="shared" si="2"/>
        <v>0.2</v>
      </c>
      <c r="L24" s="56"/>
      <c r="N24" s="54"/>
      <c r="Y24" s="58">
        <f>SUM(I24:I25)</f>
        <v>7.5</v>
      </c>
    </row>
    <row r="25" spans="1:34" ht="15" thickBot="1" x14ac:dyDescent="0.35">
      <c r="A25" s="59"/>
      <c r="B25" s="33" t="s">
        <v>184</v>
      </c>
      <c r="C25" s="34" t="s">
        <v>154</v>
      </c>
      <c r="D25" s="34"/>
      <c r="E25" s="34"/>
      <c r="F25" s="34"/>
      <c r="G25" s="34"/>
      <c r="H25" s="34"/>
      <c r="I25" s="33">
        <v>4.3</v>
      </c>
      <c r="J25" s="32">
        <f t="shared" si="2"/>
        <v>0.26874999999999999</v>
      </c>
      <c r="K25" s="32">
        <f>SUM(J14:J25)</f>
        <v>1.2375</v>
      </c>
      <c r="L25" s="59"/>
      <c r="N25" s="59"/>
      <c r="O25" s="33"/>
      <c r="P25" s="33"/>
      <c r="Q25" s="33"/>
      <c r="R25" s="33"/>
      <c r="S25" s="33"/>
      <c r="T25" s="33"/>
      <c r="U25" s="33"/>
      <c r="V25" s="33"/>
      <c r="W25" s="33"/>
      <c r="X25" s="32">
        <f>SUM(W14:W25)</f>
        <v>1.76875</v>
      </c>
      <c r="Y25" s="62"/>
      <c r="AH25"/>
    </row>
    <row r="26" spans="1:34" x14ac:dyDescent="0.3">
      <c r="A26" s="57" t="s">
        <v>183</v>
      </c>
      <c r="B26" s="5" t="s">
        <v>182</v>
      </c>
      <c r="C26" s="6" t="s">
        <v>154</v>
      </c>
      <c r="G26" s="6" t="s">
        <v>154</v>
      </c>
      <c r="I26" s="26">
        <v>1.4</v>
      </c>
      <c r="J26" s="9">
        <f t="shared" ref="J26:J35" si="3">I26/16</f>
        <v>8.7499999999999994E-2</v>
      </c>
      <c r="K26" s="9"/>
      <c r="L26" s="60">
        <f>SUM(I26:I28)</f>
        <v>15.3</v>
      </c>
      <c r="N26" s="57" t="s">
        <v>183</v>
      </c>
      <c r="O26" s="42" t="s">
        <v>182</v>
      </c>
      <c r="P26" s="6" t="s">
        <v>154</v>
      </c>
      <c r="T26" s="6" t="s">
        <v>154</v>
      </c>
      <c r="V26" s="5">
        <v>1.4</v>
      </c>
      <c r="W26" s="9">
        <f>V26/16</f>
        <v>8.7499999999999994E-2</v>
      </c>
      <c r="X26" s="9"/>
      <c r="Y26" s="57">
        <f>SUM(V26:V28)</f>
        <v>9.4</v>
      </c>
    </row>
    <row r="27" spans="1:34" x14ac:dyDescent="0.3">
      <c r="A27" s="54"/>
      <c r="B27" s="9" t="s">
        <v>334</v>
      </c>
      <c r="C27" s="8" t="s">
        <v>154</v>
      </c>
      <c r="D27" s="8"/>
      <c r="E27" s="8"/>
      <c r="F27" s="8"/>
      <c r="G27" s="8" t="s">
        <v>154</v>
      </c>
      <c r="H27" s="8"/>
      <c r="I27" s="26">
        <v>10.3</v>
      </c>
      <c r="J27" s="9">
        <f t="shared" si="3"/>
        <v>0.64375000000000004</v>
      </c>
      <c r="L27" s="61"/>
      <c r="N27" s="54"/>
      <c r="O27" s="9" t="s">
        <v>181</v>
      </c>
      <c r="P27" s="8" t="s">
        <v>154</v>
      </c>
      <c r="Q27" s="8"/>
      <c r="R27" s="8"/>
      <c r="S27" s="8"/>
      <c r="T27" s="8" t="s">
        <v>154</v>
      </c>
      <c r="U27" s="8"/>
      <c r="V27" s="5">
        <v>8</v>
      </c>
      <c r="W27" s="9">
        <f>V27/16</f>
        <v>0.5</v>
      </c>
      <c r="Y27" s="54"/>
    </row>
    <row r="28" spans="1:34" x14ac:dyDescent="0.3">
      <c r="A28" s="54"/>
      <c r="B28" s="9" t="s">
        <v>180</v>
      </c>
      <c r="C28" s="8" t="s">
        <v>154</v>
      </c>
      <c r="D28" s="8"/>
      <c r="E28" s="8"/>
      <c r="F28" s="8"/>
      <c r="G28" s="8" t="s">
        <v>154</v>
      </c>
      <c r="H28" s="8"/>
      <c r="I28" s="26">
        <v>3.6</v>
      </c>
      <c r="J28" s="9">
        <f t="shared" si="3"/>
        <v>0.22500000000000001</v>
      </c>
      <c r="L28" s="61"/>
      <c r="N28" s="54"/>
      <c r="O28" s="9"/>
      <c r="P28" s="8"/>
      <c r="Q28" s="8"/>
      <c r="R28" s="8"/>
      <c r="S28" s="8"/>
      <c r="T28" s="8"/>
      <c r="U28" s="8"/>
      <c r="W28" s="9"/>
      <c r="Y28" s="54"/>
    </row>
    <row r="29" spans="1:34" x14ac:dyDescent="0.3">
      <c r="A29" s="19"/>
      <c r="B29" s="9" t="s">
        <v>177</v>
      </c>
      <c r="C29" s="8"/>
      <c r="D29" s="8"/>
      <c r="E29" s="8"/>
      <c r="F29" s="8"/>
      <c r="G29" s="8"/>
      <c r="H29" s="8"/>
      <c r="I29" s="26"/>
      <c r="J29" s="9"/>
      <c r="L29" s="31"/>
      <c r="N29" s="19"/>
      <c r="O29" s="9"/>
      <c r="P29" s="8"/>
      <c r="Q29" s="8"/>
      <c r="R29" s="8"/>
      <c r="S29" s="8"/>
      <c r="T29" s="8"/>
      <c r="U29" s="8"/>
      <c r="W29" s="9"/>
      <c r="Y29" s="19"/>
    </row>
    <row r="30" spans="1:34" x14ac:dyDescent="0.3">
      <c r="A30" s="54" t="s">
        <v>178</v>
      </c>
      <c r="B30" s="5" t="s">
        <v>179</v>
      </c>
      <c r="C30" s="6" t="s">
        <v>154</v>
      </c>
      <c r="G30" s="6" t="s">
        <v>154</v>
      </c>
      <c r="I30" s="26">
        <v>1.8</v>
      </c>
      <c r="J30" s="9">
        <f t="shared" si="3"/>
        <v>0.1125</v>
      </c>
      <c r="L30" s="19"/>
      <c r="N30" s="54" t="s">
        <v>178</v>
      </c>
      <c r="O30" s="9"/>
      <c r="W30" s="9"/>
      <c r="Y30" s="19"/>
    </row>
    <row r="31" spans="1:34" x14ac:dyDescent="0.3">
      <c r="A31" s="54"/>
      <c r="B31" s="5" t="s">
        <v>176</v>
      </c>
      <c r="C31" s="6" t="s">
        <v>154</v>
      </c>
      <c r="G31" s="6" t="s">
        <v>154</v>
      </c>
      <c r="I31" s="26">
        <v>1.1000000000000001</v>
      </c>
      <c r="J31" s="9">
        <f t="shared" si="3"/>
        <v>6.8750000000000006E-2</v>
      </c>
      <c r="L31" s="19"/>
      <c r="N31" s="54"/>
      <c r="W31" s="9"/>
      <c r="Y31" s="19"/>
    </row>
    <row r="32" spans="1:34" x14ac:dyDescent="0.3">
      <c r="A32" s="54"/>
      <c r="B32" s="5" t="s">
        <v>145</v>
      </c>
      <c r="C32" s="6" t="s">
        <v>154</v>
      </c>
      <c r="G32" s="6" t="s">
        <v>154</v>
      </c>
      <c r="I32" s="26">
        <v>1</v>
      </c>
      <c r="J32" s="9">
        <f t="shared" si="3"/>
        <v>6.25E-2</v>
      </c>
      <c r="K32" s="9"/>
      <c r="L32" s="8"/>
      <c r="N32" s="54"/>
      <c r="W32" s="9"/>
      <c r="X32" s="9"/>
      <c r="Y32" s="8"/>
    </row>
    <row r="33" spans="1:25" x14ac:dyDescent="0.3">
      <c r="A33" s="54" t="s">
        <v>175</v>
      </c>
      <c r="B33" s="5" t="s">
        <v>174</v>
      </c>
      <c r="C33" s="6" t="s">
        <v>154</v>
      </c>
      <c r="G33" s="6" t="s">
        <v>154</v>
      </c>
      <c r="I33" s="26">
        <v>1.8</v>
      </c>
      <c r="J33" s="9">
        <f t="shared" si="3"/>
        <v>0.1125</v>
      </c>
      <c r="K33" s="9"/>
      <c r="L33" s="8"/>
      <c r="N33" s="54" t="s">
        <v>175</v>
      </c>
      <c r="O33" s="5" t="s">
        <v>174</v>
      </c>
      <c r="P33" s="6" t="s">
        <v>154</v>
      </c>
      <c r="T33" s="6" t="s">
        <v>154</v>
      </c>
      <c r="V33" s="5">
        <v>1.8</v>
      </c>
      <c r="W33" s="9">
        <f t="shared" ref="W33:W35" si="4">V33/16</f>
        <v>0.1125</v>
      </c>
      <c r="X33" s="9"/>
      <c r="Y33" s="8"/>
    </row>
    <row r="34" spans="1:25" x14ac:dyDescent="0.3">
      <c r="A34" s="54"/>
      <c r="B34" s="5" t="s">
        <v>173</v>
      </c>
      <c r="D34" s="6" t="s">
        <v>154</v>
      </c>
      <c r="G34" s="6" t="s">
        <v>154</v>
      </c>
      <c r="I34" s="26">
        <v>11</v>
      </c>
      <c r="J34" s="9">
        <f t="shared" si="3"/>
        <v>0.6875</v>
      </c>
      <c r="K34" s="9"/>
      <c r="L34" s="8"/>
      <c r="N34" s="54"/>
      <c r="O34" s="5" t="s">
        <v>172</v>
      </c>
      <c r="Q34" s="6" t="s">
        <v>154</v>
      </c>
      <c r="T34" s="6" t="s">
        <v>154</v>
      </c>
      <c r="V34" s="5">
        <v>11</v>
      </c>
      <c r="W34" s="9">
        <f t="shared" si="4"/>
        <v>0.6875</v>
      </c>
      <c r="X34" s="9"/>
      <c r="Y34" s="8"/>
    </row>
    <row r="35" spans="1:25" x14ac:dyDescent="0.3">
      <c r="A35" s="54"/>
      <c r="B35" s="5" t="s">
        <v>346</v>
      </c>
      <c r="D35" s="6" t="s">
        <v>154</v>
      </c>
      <c r="G35" s="6" t="s">
        <v>154</v>
      </c>
      <c r="I35" s="26">
        <v>13.4</v>
      </c>
      <c r="J35" s="9">
        <f t="shared" si="3"/>
        <v>0.83750000000000002</v>
      </c>
      <c r="K35" s="9"/>
      <c r="L35" s="8"/>
      <c r="N35" s="54"/>
      <c r="O35" s="5" t="s">
        <v>346</v>
      </c>
      <c r="Q35" s="6" t="s">
        <v>154</v>
      </c>
      <c r="T35" s="6" t="s">
        <v>154</v>
      </c>
      <c r="V35" s="5">
        <v>23</v>
      </c>
      <c r="W35" s="9">
        <f t="shared" si="4"/>
        <v>1.4375</v>
      </c>
      <c r="X35" s="9"/>
      <c r="Y35" s="8"/>
    </row>
    <row r="36" spans="1:25" x14ac:dyDescent="0.3">
      <c r="A36" s="54" t="s">
        <v>171</v>
      </c>
      <c r="B36" t="s">
        <v>170</v>
      </c>
      <c r="C36" s="6" t="s">
        <v>154</v>
      </c>
      <c r="I36" s="26">
        <v>0.6</v>
      </c>
      <c r="J36" s="9">
        <f>I36/16</f>
        <v>3.7499999999999999E-2</v>
      </c>
      <c r="K36" s="9"/>
      <c r="L36" s="58">
        <f>SUM(I36:I39)</f>
        <v>6.5</v>
      </c>
      <c r="N36" s="54" t="s">
        <v>171</v>
      </c>
      <c r="X36" s="9"/>
      <c r="Y36" s="56"/>
    </row>
    <row r="37" spans="1:25" x14ac:dyDescent="0.3">
      <c r="A37" s="54"/>
      <c r="B37" t="s">
        <v>169</v>
      </c>
      <c r="E37" s="6" t="s">
        <v>154</v>
      </c>
      <c r="I37" s="26">
        <v>0.9</v>
      </c>
      <c r="J37" s="9">
        <f>I37/16</f>
        <v>5.6250000000000001E-2</v>
      </c>
      <c r="L37" s="58"/>
      <c r="N37" s="54"/>
      <c r="Y37" s="56"/>
    </row>
    <row r="38" spans="1:25" x14ac:dyDescent="0.3">
      <c r="A38" s="54"/>
      <c r="B38" t="s">
        <v>168</v>
      </c>
      <c r="E38" s="6" t="s">
        <v>154</v>
      </c>
      <c r="I38" s="26">
        <v>2.2999999999999998</v>
      </c>
      <c r="J38" s="9">
        <f>I38/16</f>
        <v>0.14374999999999999</v>
      </c>
      <c r="K38" s="9"/>
      <c r="L38" s="58"/>
      <c r="N38" s="54"/>
      <c r="X38" s="9"/>
      <c r="Y38" s="56"/>
    </row>
    <row r="39" spans="1:25" x14ac:dyDescent="0.3">
      <c r="A39" s="54"/>
      <c r="B39" t="s">
        <v>167</v>
      </c>
      <c r="E39" s="6" t="s">
        <v>154</v>
      </c>
      <c r="I39" s="26">
        <v>2.7</v>
      </c>
      <c r="J39" s="9">
        <f>I39/16</f>
        <v>0.16875000000000001</v>
      </c>
      <c r="K39" s="9"/>
      <c r="L39" s="58"/>
      <c r="N39" s="54"/>
      <c r="X39" s="9"/>
      <c r="Y39" s="56"/>
    </row>
    <row r="40" spans="1:25" x14ac:dyDescent="0.3">
      <c r="A40" s="54" t="s">
        <v>166</v>
      </c>
      <c r="B40" s="5" t="s">
        <v>165</v>
      </c>
      <c r="C40" s="6" t="s">
        <v>154</v>
      </c>
      <c r="I40" s="5">
        <v>2.7</v>
      </c>
      <c r="J40" s="9">
        <f t="shared" ref="J40:J49" si="5">I40/16</f>
        <v>0.16875000000000001</v>
      </c>
      <c r="K40" s="9"/>
      <c r="L40" s="56">
        <f>SUM(I40:I44)</f>
        <v>30.299999999999997</v>
      </c>
      <c r="N40" s="54" t="s">
        <v>166</v>
      </c>
      <c r="O40" s="5" t="s">
        <v>165</v>
      </c>
      <c r="W40" s="9"/>
      <c r="X40" s="9"/>
      <c r="Y40" s="56">
        <f>SUM(V40:V44)</f>
        <v>27.599999999999998</v>
      </c>
    </row>
    <row r="41" spans="1:25" x14ac:dyDescent="0.3">
      <c r="A41" s="54"/>
      <c r="B41" s="5" t="s">
        <v>164</v>
      </c>
      <c r="D41" s="6" t="s">
        <v>154</v>
      </c>
      <c r="I41" s="5">
        <v>2</v>
      </c>
      <c r="J41" s="9">
        <f t="shared" si="5"/>
        <v>0.125</v>
      </c>
      <c r="K41" s="9"/>
      <c r="L41" s="56"/>
      <c r="N41" s="54"/>
      <c r="O41" s="5" t="s">
        <v>164</v>
      </c>
      <c r="Q41" s="6" t="s">
        <v>154</v>
      </c>
      <c r="V41" s="5">
        <v>2</v>
      </c>
      <c r="W41" s="9">
        <f>V41/16</f>
        <v>0.125</v>
      </c>
      <c r="X41" s="9"/>
      <c r="Y41" s="56"/>
    </row>
    <row r="42" spans="1:25" x14ac:dyDescent="0.3">
      <c r="A42" s="54"/>
      <c r="B42" s="5" t="s">
        <v>163</v>
      </c>
      <c r="D42" s="6" t="s">
        <v>154</v>
      </c>
      <c r="I42" s="5">
        <v>10</v>
      </c>
      <c r="J42" s="9">
        <f t="shared" si="5"/>
        <v>0.625</v>
      </c>
      <c r="K42" s="9"/>
      <c r="L42" s="56"/>
      <c r="N42" s="54"/>
      <c r="O42" s="5" t="s">
        <v>162</v>
      </c>
      <c r="Q42" s="6" t="s">
        <v>154</v>
      </c>
      <c r="V42" s="5">
        <v>10</v>
      </c>
      <c r="W42" s="9">
        <f>V42/16</f>
        <v>0.625</v>
      </c>
      <c r="X42" s="9"/>
      <c r="Y42" s="56"/>
    </row>
    <row r="43" spans="1:25" x14ac:dyDescent="0.3">
      <c r="A43" s="54"/>
      <c r="B43" s="5" t="s">
        <v>161</v>
      </c>
      <c r="D43" s="6" t="s">
        <v>154</v>
      </c>
      <c r="I43" s="9">
        <v>13.7</v>
      </c>
      <c r="J43" s="9">
        <f t="shared" si="5"/>
        <v>0.85624999999999996</v>
      </c>
      <c r="K43" s="9"/>
      <c r="L43" s="56"/>
      <c r="N43" s="54"/>
      <c r="O43" s="5" t="s">
        <v>161</v>
      </c>
      <c r="Q43" s="6" t="s">
        <v>154</v>
      </c>
      <c r="V43" s="9">
        <v>13.7</v>
      </c>
      <c r="W43" s="9">
        <f>V43/16</f>
        <v>0.85624999999999996</v>
      </c>
      <c r="X43" s="9"/>
      <c r="Y43" s="56"/>
    </row>
    <row r="44" spans="1:25" x14ac:dyDescent="0.3">
      <c r="A44" s="54"/>
      <c r="B44" s="5" t="s">
        <v>160</v>
      </c>
      <c r="D44" s="6" t="s">
        <v>154</v>
      </c>
      <c r="I44" s="5">
        <v>1.9</v>
      </c>
      <c r="J44" s="9">
        <f t="shared" si="5"/>
        <v>0.11874999999999999</v>
      </c>
      <c r="K44" s="9"/>
      <c r="L44" s="56"/>
      <c r="N44" s="54"/>
      <c r="O44" s="5" t="s">
        <v>160</v>
      </c>
      <c r="Q44" s="6" t="s">
        <v>154</v>
      </c>
      <c r="V44" s="5">
        <v>1.9</v>
      </c>
      <c r="W44" s="9">
        <f>V44/16</f>
        <v>0.11874999999999999</v>
      </c>
      <c r="X44" s="9"/>
      <c r="Y44" s="56"/>
    </row>
    <row r="45" spans="1:25" x14ac:dyDescent="0.3">
      <c r="A45" s="54" t="s">
        <v>158</v>
      </c>
      <c r="B45" s="9" t="s">
        <v>159</v>
      </c>
      <c r="C45" s="8" t="s">
        <v>154</v>
      </c>
      <c r="D45" s="8"/>
      <c r="E45" s="8"/>
      <c r="F45" s="8"/>
      <c r="G45" s="8"/>
      <c r="H45" s="8"/>
      <c r="I45" s="26">
        <v>0.3</v>
      </c>
      <c r="J45" s="9">
        <f t="shared" si="5"/>
        <v>1.8749999999999999E-2</v>
      </c>
      <c r="L45" s="54">
        <f>SUM(I45:I49)</f>
        <v>7.4</v>
      </c>
      <c r="N45" s="54" t="s">
        <v>158</v>
      </c>
      <c r="O45" s="9"/>
      <c r="P45" s="8"/>
      <c r="Q45" s="8"/>
      <c r="R45" s="8"/>
      <c r="S45" s="8"/>
      <c r="T45" s="8"/>
      <c r="U45" s="8"/>
      <c r="W45" s="9"/>
      <c r="Y45" s="54">
        <f>SUM(V45:V49)</f>
        <v>0</v>
      </c>
    </row>
    <row r="46" spans="1:25" x14ac:dyDescent="0.3">
      <c r="A46" s="54"/>
      <c r="B46" s="9" t="s">
        <v>157</v>
      </c>
      <c r="C46" s="8" t="s">
        <v>154</v>
      </c>
      <c r="D46" s="8"/>
      <c r="E46" s="8"/>
      <c r="F46" s="8"/>
      <c r="G46" s="8"/>
      <c r="H46" s="8"/>
      <c r="I46" s="26">
        <v>1.1000000000000001</v>
      </c>
      <c r="J46" s="9">
        <f t="shared" si="5"/>
        <v>6.8750000000000006E-2</v>
      </c>
      <c r="L46" s="54"/>
      <c r="N46" s="54"/>
      <c r="O46" s="9"/>
      <c r="P46" s="8"/>
      <c r="Q46" s="8"/>
      <c r="R46" s="8"/>
      <c r="S46" s="8"/>
      <c r="T46" s="8"/>
      <c r="U46" s="8"/>
      <c r="W46" s="9"/>
      <c r="Y46" s="54"/>
    </row>
    <row r="47" spans="1:25" x14ac:dyDescent="0.3">
      <c r="A47" s="54"/>
      <c r="B47" s="5" t="s">
        <v>156</v>
      </c>
      <c r="C47" s="6" t="s">
        <v>154</v>
      </c>
      <c r="I47" s="26">
        <v>1.5</v>
      </c>
      <c r="J47" s="9">
        <f t="shared" si="5"/>
        <v>9.375E-2</v>
      </c>
      <c r="L47" s="54"/>
      <c r="N47" s="54"/>
      <c r="W47" s="9"/>
      <c r="Y47" s="54"/>
    </row>
    <row r="48" spans="1:25" x14ac:dyDescent="0.3">
      <c r="A48" s="54"/>
      <c r="B48" s="5" t="s">
        <v>155</v>
      </c>
      <c r="C48" s="6" t="s">
        <v>154</v>
      </c>
      <c r="I48" s="26">
        <v>0.4</v>
      </c>
      <c r="J48" s="9">
        <f t="shared" si="5"/>
        <v>2.5000000000000001E-2</v>
      </c>
      <c r="L48" s="54"/>
      <c r="N48" s="54"/>
      <c r="W48" s="9"/>
      <c r="Y48" s="54"/>
    </row>
    <row r="49" spans="1:28" ht="15" thickBot="1" x14ac:dyDescent="0.35">
      <c r="A49" s="54"/>
      <c r="B49" t="s">
        <v>329</v>
      </c>
      <c r="C49" s="8" t="s">
        <v>154</v>
      </c>
      <c r="D49" s="8"/>
      <c r="E49" s="8"/>
      <c r="F49" s="8"/>
      <c r="G49" s="8"/>
      <c r="H49" s="8"/>
      <c r="I49" s="5">
        <v>4.0999999999999996</v>
      </c>
      <c r="J49" s="9">
        <f t="shared" si="5"/>
        <v>0.25624999999999998</v>
      </c>
      <c r="K49" s="9">
        <f>SUM(J26:J49)</f>
        <v>5.6</v>
      </c>
      <c r="L49" s="54"/>
      <c r="N49" s="54"/>
      <c r="O49" s="9"/>
      <c r="P49" s="8"/>
      <c r="Q49" s="8"/>
      <c r="R49" s="8"/>
      <c r="S49" s="8"/>
      <c r="T49" s="8"/>
      <c r="U49" s="8"/>
      <c r="W49" s="9"/>
      <c r="X49" s="9">
        <f>SUM(W26:W49)</f>
        <v>4.5500000000000007</v>
      </c>
      <c r="Y49" s="54"/>
    </row>
    <row r="50" spans="1:28" ht="15" thickBot="1" x14ac:dyDescent="0.35">
      <c r="A50" s="30"/>
      <c r="B50" s="28"/>
      <c r="C50" s="27">
        <f>SUMIF(C2:C49,"x",$J2:$J49)</f>
        <v>8.3125</v>
      </c>
      <c r="D50" s="27">
        <f>SUMIF(D2:D49,"x",$J2:$J49)</f>
        <v>3.6687499999999997</v>
      </c>
      <c r="E50" s="27">
        <f>SUMIF(E2:E49,"x",$J2:$J49)</f>
        <v>0.74374999999999991</v>
      </c>
      <c r="F50" s="27">
        <f>SUMIF(F2:F49,"x",$J2:$J49)</f>
        <v>0.15625</v>
      </c>
      <c r="G50" s="27">
        <f>SUMIF(G2:G49,"x",$J2:$J49)</f>
        <v>5.2125000000000004</v>
      </c>
      <c r="H50" s="27"/>
      <c r="I50" s="29">
        <f>SUBTOTAL(9,I2:I49)</f>
        <v>203.60000000000002</v>
      </c>
      <c r="J50" s="29">
        <f>SUBTOTAL(9,J2:J49)</f>
        <v>12.725000000000001</v>
      </c>
      <c r="K50" s="28">
        <f>SUM(K1:K49)</f>
        <v>45.537500000000001</v>
      </c>
      <c r="L50" s="27"/>
      <c r="N50" s="30"/>
      <c r="O50" s="28"/>
      <c r="P50" s="27">
        <f>SUMIF(P2:P49,"x",$W2:$W49)</f>
        <v>12.612499999999999</v>
      </c>
      <c r="Q50" s="27">
        <f>SUMIF(Q2:Q49,"x",$W2:$W49)</f>
        <v>4.2687500000000007</v>
      </c>
      <c r="R50" s="27">
        <f>SUMIF(R2:R49,"x",$W2:$W49)</f>
        <v>0.21875</v>
      </c>
      <c r="S50" s="27">
        <f>SUMIF(S2:S49,"x",$W2:$W49)</f>
        <v>0</v>
      </c>
      <c r="T50" s="27">
        <f>SUMIF(T2:T49,"x",$W2:$W49)</f>
        <v>5.0187499999999998</v>
      </c>
      <c r="U50" s="27"/>
      <c r="V50" s="29">
        <f>SUBTOTAL(9,V2:V49)</f>
        <v>273.59999999999997</v>
      </c>
      <c r="W50" s="29">
        <f>SUBTOTAL(9,W2:W49)</f>
        <v>17.099999999999998</v>
      </c>
      <c r="X50" s="28">
        <f>SUM(X1:X49)</f>
        <v>17.100000000000001</v>
      </c>
      <c r="Y50" s="27"/>
    </row>
    <row r="51" spans="1:28" ht="15" thickBot="1" x14ac:dyDescent="0.35">
      <c r="A51" s="26" t="s">
        <v>153</v>
      </c>
      <c r="B51" s="25"/>
      <c r="C51" s="24"/>
      <c r="D51" s="24"/>
      <c r="E51" s="24"/>
      <c r="F51" s="24"/>
      <c r="G51" s="24"/>
      <c r="H51" s="24"/>
      <c r="I51" s="23">
        <f>SUBTOTAL(9,I2:I50)</f>
        <v>203.60000000000002</v>
      </c>
      <c r="J51" s="22">
        <f>I51/16</f>
        <v>12.725000000000001</v>
      </c>
      <c r="K51" s="21"/>
      <c r="L51" s="20"/>
      <c r="N51" s="26" t="s">
        <v>153</v>
      </c>
      <c r="O51" s="25"/>
      <c r="P51" s="24"/>
      <c r="Q51" s="24"/>
      <c r="R51" s="24"/>
      <c r="S51" s="24"/>
      <c r="T51" s="24"/>
      <c r="U51" s="24"/>
      <c r="V51" s="23">
        <f>SUBTOTAL(9,V2:V50)</f>
        <v>273.59999999999997</v>
      </c>
      <c r="W51" s="22">
        <f>V51/16</f>
        <v>17.099999999999998</v>
      </c>
      <c r="X51" s="21"/>
      <c r="Y51" s="20"/>
    </row>
    <row r="52" spans="1:28" ht="15" thickTop="1" x14ac:dyDescent="0.3">
      <c r="A52" s="54" t="s">
        <v>152</v>
      </c>
      <c r="B52" s="5" t="s">
        <v>151</v>
      </c>
      <c r="I52" s="5">
        <f>35.3*2</f>
        <v>70.599999999999994</v>
      </c>
      <c r="J52" s="9">
        <f>I52/16</f>
        <v>4.4124999999999996</v>
      </c>
      <c r="K52" s="9"/>
      <c r="L52" s="8"/>
      <c r="N52" s="54" t="s">
        <v>152</v>
      </c>
      <c r="O52" s="5" t="s">
        <v>151</v>
      </c>
      <c r="V52" s="5">
        <f>35.3*2</f>
        <v>70.599999999999994</v>
      </c>
      <c r="W52" s="9">
        <f>V52/16</f>
        <v>4.4124999999999996</v>
      </c>
      <c r="X52" s="9"/>
      <c r="Y52" s="8"/>
    </row>
    <row r="53" spans="1:28" x14ac:dyDescent="0.3">
      <c r="A53" s="54"/>
      <c r="J53" s="9"/>
      <c r="K53" s="9"/>
      <c r="L53" s="8"/>
      <c r="N53" s="54"/>
      <c r="W53" s="9"/>
      <c r="X53" s="9"/>
      <c r="Y53" s="8"/>
    </row>
    <row r="54" spans="1:28" x14ac:dyDescent="0.3">
      <c r="A54" s="54"/>
      <c r="B54" s="9" t="s">
        <v>150</v>
      </c>
      <c r="C54" s="8"/>
      <c r="D54" s="8"/>
      <c r="E54" s="8"/>
      <c r="F54" s="8"/>
      <c r="G54" s="8"/>
      <c r="H54" s="8"/>
      <c r="I54" s="9"/>
      <c r="J54" s="9">
        <f>I54/16</f>
        <v>0</v>
      </c>
      <c r="K54" s="9"/>
      <c r="L54" s="8"/>
      <c r="N54" s="54"/>
      <c r="O54" s="9" t="s">
        <v>150</v>
      </c>
      <c r="P54" s="8"/>
      <c r="Q54" s="8"/>
      <c r="R54" s="8"/>
      <c r="S54" s="8"/>
      <c r="T54" s="8"/>
      <c r="U54" s="8"/>
      <c r="V54" s="9">
        <v>229.4</v>
      </c>
      <c r="W54" s="9">
        <f>V54/16</f>
        <v>14.3375</v>
      </c>
      <c r="X54" s="9"/>
      <c r="Y54" s="8"/>
      <c r="AB54" s="14" t="s">
        <v>344</v>
      </c>
    </row>
    <row r="55" spans="1:28" ht="15" thickBot="1" x14ac:dyDescent="0.35">
      <c r="A55" s="17" t="s">
        <v>149</v>
      </c>
      <c r="B55" s="16"/>
      <c r="C55" s="15"/>
      <c r="D55" s="15"/>
      <c r="E55" s="15"/>
      <c r="F55" s="15"/>
      <c r="G55" s="15"/>
      <c r="H55" s="15"/>
      <c r="I55" s="16">
        <f>I51+I52+I53+I54</f>
        <v>274.20000000000005</v>
      </c>
      <c r="J55" s="16">
        <f>I55/16</f>
        <v>17.137500000000003</v>
      </c>
      <c r="K55" s="16">
        <f>I55/16</f>
        <v>17.137500000000003</v>
      </c>
      <c r="L55" s="15"/>
      <c r="M55" s="18"/>
      <c r="N55" s="17" t="s">
        <v>149</v>
      </c>
      <c r="O55" s="16"/>
      <c r="P55" s="15"/>
      <c r="Q55" s="15"/>
      <c r="R55" s="15"/>
      <c r="S55" s="15"/>
      <c r="T55" s="15"/>
      <c r="U55" s="15"/>
      <c r="V55" s="16">
        <f>V51+V52+V53+V54</f>
        <v>573.59999999999991</v>
      </c>
      <c r="W55" s="16">
        <f>V55/16</f>
        <v>35.849999999999994</v>
      </c>
      <c r="X55" s="16">
        <f>V55/16</f>
        <v>35.849999999999994</v>
      </c>
      <c r="Y55" s="15"/>
      <c r="AB55" s="47">
        <f>J55+W55</f>
        <v>52.987499999999997</v>
      </c>
    </row>
    <row r="56" spans="1:28" x14ac:dyDescent="0.3">
      <c r="A56" s="55" t="s">
        <v>148</v>
      </c>
      <c r="B56" s="9" t="s">
        <v>147</v>
      </c>
      <c r="C56" s="8"/>
      <c r="D56" s="8"/>
      <c r="E56" s="8"/>
      <c r="F56" s="8"/>
      <c r="G56" s="8"/>
      <c r="H56" s="8"/>
      <c r="I56" s="9">
        <v>26.4</v>
      </c>
      <c r="J56" s="9">
        <f>I56/16</f>
        <v>1.65</v>
      </c>
      <c r="K56" s="9"/>
      <c r="L56" s="8"/>
      <c r="N56" s="55" t="s">
        <v>148</v>
      </c>
      <c r="O56" s="9" t="s">
        <v>147</v>
      </c>
      <c r="P56" s="8"/>
      <c r="Q56" s="8"/>
      <c r="R56" s="8"/>
      <c r="S56" s="8"/>
      <c r="T56" s="8"/>
      <c r="U56" s="8"/>
      <c r="V56" s="9">
        <v>26.4</v>
      </c>
      <c r="W56" s="9">
        <f>V56/16</f>
        <v>1.65</v>
      </c>
      <c r="X56" s="9"/>
      <c r="Y56" s="8"/>
    </row>
    <row r="57" spans="1:28" x14ac:dyDescent="0.3">
      <c r="A57" s="55"/>
      <c r="B57" s="5" t="s">
        <v>146</v>
      </c>
      <c r="I57" s="9">
        <v>7.9</v>
      </c>
      <c r="J57" s="9">
        <f>I57/16</f>
        <v>0.49375000000000002</v>
      </c>
      <c r="K57" s="9"/>
      <c r="L57" s="8"/>
      <c r="N57" s="55"/>
      <c r="O57" s="5" t="s">
        <v>146</v>
      </c>
      <c r="V57" s="9">
        <v>7.9</v>
      </c>
      <c r="W57" s="9">
        <f>V57/16</f>
        <v>0.49375000000000002</v>
      </c>
      <c r="X57" s="9"/>
      <c r="Y57" s="8"/>
    </row>
    <row r="58" spans="1:28" x14ac:dyDescent="0.3">
      <c r="A58" s="55"/>
      <c r="B58" s="5" t="s">
        <v>145</v>
      </c>
      <c r="I58" s="9"/>
      <c r="J58" s="9"/>
      <c r="K58" s="9"/>
      <c r="L58" s="8"/>
      <c r="N58" s="55"/>
      <c r="V58" s="9"/>
      <c r="W58" s="9"/>
      <c r="X58" s="9"/>
      <c r="Y58" s="8"/>
    </row>
    <row r="59" spans="1:28" x14ac:dyDescent="0.3">
      <c r="A59" s="55"/>
      <c r="B59" s="5" t="s">
        <v>144</v>
      </c>
      <c r="I59" s="9">
        <v>1.9</v>
      </c>
      <c r="J59" s="9">
        <f t="shared" ref="J59:J67" si="6">I59/16</f>
        <v>0.11874999999999999</v>
      </c>
      <c r="K59" s="9"/>
      <c r="L59" s="8"/>
      <c r="N59" s="55"/>
      <c r="V59" s="9"/>
      <c r="W59" s="9"/>
      <c r="X59" s="9"/>
      <c r="Y59" s="8"/>
    </row>
    <row r="60" spans="1:28" x14ac:dyDescent="0.3">
      <c r="A60" s="55"/>
      <c r="B60" s="5" t="s">
        <v>143</v>
      </c>
      <c r="I60" s="9">
        <v>2.4</v>
      </c>
      <c r="J60" s="9">
        <f t="shared" si="6"/>
        <v>0.15</v>
      </c>
      <c r="K60" s="9"/>
      <c r="L60" s="8"/>
      <c r="N60" s="55"/>
      <c r="O60" s="5" t="s">
        <v>143</v>
      </c>
      <c r="V60" s="9">
        <v>2.4</v>
      </c>
      <c r="W60" s="9">
        <f>V60/16</f>
        <v>0.15</v>
      </c>
      <c r="X60" s="9"/>
      <c r="Y60" s="8"/>
    </row>
    <row r="61" spans="1:28" x14ac:dyDescent="0.3">
      <c r="A61" s="55"/>
      <c r="B61" s="5" t="s">
        <v>142</v>
      </c>
      <c r="I61" s="5">
        <v>4.3</v>
      </c>
      <c r="J61" s="9">
        <f t="shared" si="6"/>
        <v>0.26874999999999999</v>
      </c>
      <c r="K61" s="9"/>
      <c r="L61" s="8"/>
      <c r="N61" s="55"/>
      <c r="O61" s="5" t="s">
        <v>142</v>
      </c>
      <c r="V61" s="5">
        <v>4.3</v>
      </c>
      <c r="W61" s="9">
        <f>V61/16</f>
        <v>0.26874999999999999</v>
      </c>
      <c r="X61" s="9"/>
      <c r="Y61" s="8"/>
    </row>
    <row r="62" spans="1:28" x14ac:dyDescent="0.3">
      <c r="A62" s="55"/>
      <c r="B62" s="5" t="s">
        <v>141</v>
      </c>
      <c r="I62" s="5">
        <v>21.2</v>
      </c>
      <c r="J62" s="9">
        <f t="shared" si="6"/>
        <v>1.325</v>
      </c>
      <c r="K62" s="9"/>
      <c r="L62" s="8"/>
      <c r="N62" s="55"/>
      <c r="O62" s="5" t="s">
        <v>141</v>
      </c>
      <c r="V62" s="5">
        <v>21.2</v>
      </c>
      <c r="W62" s="9">
        <f>V62/16</f>
        <v>1.325</v>
      </c>
      <c r="X62" s="9"/>
      <c r="Y62" s="8"/>
    </row>
    <row r="63" spans="1:28" x14ac:dyDescent="0.3">
      <c r="A63" s="55"/>
      <c r="B63" s="42" t="s">
        <v>140</v>
      </c>
      <c r="I63" s="9">
        <f>8.7*2</f>
        <v>17.399999999999999</v>
      </c>
      <c r="J63" s="9">
        <f t="shared" si="6"/>
        <v>1.0874999999999999</v>
      </c>
      <c r="K63" s="9"/>
      <c r="L63" s="8"/>
      <c r="N63" s="55"/>
      <c r="O63" s="5" t="s">
        <v>139</v>
      </c>
      <c r="V63" s="9">
        <f>10*2</f>
        <v>20</v>
      </c>
      <c r="W63" s="9">
        <f>V63/16</f>
        <v>1.25</v>
      </c>
      <c r="X63" s="9"/>
      <c r="Y63" s="8"/>
    </row>
    <row r="64" spans="1:28" x14ac:dyDescent="0.3">
      <c r="A64" s="55"/>
      <c r="B64" s="5" t="s">
        <v>138</v>
      </c>
      <c r="I64" s="5">
        <v>1.5</v>
      </c>
      <c r="J64" s="9">
        <f t="shared" si="6"/>
        <v>9.375E-2</v>
      </c>
      <c r="K64" s="9"/>
      <c r="L64" s="8"/>
      <c r="N64" s="55"/>
      <c r="W64" s="9"/>
      <c r="X64" s="9"/>
      <c r="Y64" s="8"/>
    </row>
    <row r="65" spans="1:25" x14ac:dyDescent="0.3">
      <c r="A65" s="55"/>
      <c r="B65" s="5" t="s">
        <v>137</v>
      </c>
      <c r="I65" s="5">
        <v>0.6</v>
      </c>
      <c r="J65" s="9">
        <f t="shared" si="6"/>
        <v>3.7499999999999999E-2</v>
      </c>
      <c r="K65" s="9"/>
      <c r="L65" s="8"/>
      <c r="N65" s="55"/>
      <c r="W65" s="9"/>
      <c r="X65" s="9"/>
      <c r="Y65" s="8"/>
    </row>
    <row r="66" spans="1:25" x14ac:dyDescent="0.3">
      <c r="A66" s="55"/>
      <c r="B66" s="9" t="s">
        <v>330</v>
      </c>
      <c r="C66" s="8" t="s">
        <v>154</v>
      </c>
      <c r="D66" s="8"/>
      <c r="E66" s="8"/>
      <c r="F66" s="8"/>
      <c r="G66" s="8" t="s">
        <v>154</v>
      </c>
      <c r="H66" s="8"/>
      <c r="I66" s="26">
        <v>8.3000000000000007</v>
      </c>
      <c r="J66" s="9">
        <f t="shared" si="6"/>
        <v>0.51875000000000004</v>
      </c>
      <c r="K66" s="9"/>
      <c r="L66" s="8"/>
      <c r="N66" s="55"/>
      <c r="O66" s="9" t="s">
        <v>330</v>
      </c>
      <c r="P66" s="8" t="s">
        <v>154</v>
      </c>
      <c r="Q66" s="8"/>
      <c r="R66" s="8"/>
      <c r="S66" s="8"/>
      <c r="T66" s="8" t="s">
        <v>154</v>
      </c>
      <c r="U66" s="8"/>
      <c r="V66" s="5">
        <v>8.3000000000000007</v>
      </c>
      <c r="W66" s="9">
        <f t="shared" ref="W66" si="7">V66/16</f>
        <v>0.51875000000000004</v>
      </c>
      <c r="X66" s="9"/>
      <c r="Y66" s="8"/>
    </row>
    <row r="67" spans="1:25" x14ac:dyDescent="0.3">
      <c r="A67" s="55"/>
      <c r="B67" s="5" t="s">
        <v>136</v>
      </c>
      <c r="I67" s="5">
        <v>1.4</v>
      </c>
      <c r="J67" s="9">
        <f t="shared" si="6"/>
        <v>8.7499999999999994E-2</v>
      </c>
      <c r="K67" s="9"/>
      <c r="L67" s="8"/>
      <c r="N67" s="55"/>
      <c r="W67" s="9"/>
      <c r="X67" s="9"/>
      <c r="Y67" s="8"/>
    </row>
    <row r="68" spans="1:25" ht="15" thickBot="1" x14ac:dyDescent="0.35">
      <c r="B68" s="13" t="s">
        <v>135</v>
      </c>
      <c r="C68" s="12"/>
      <c r="D68" s="12"/>
      <c r="E68" s="12"/>
      <c r="F68" s="12"/>
      <c r="G68" s="12"/>
      <c r="H68" s="12"/>
      <c r="I68" s="11">
        <f>SUM(I56:I67)</f>
        <v>93.3</v>
      </c>
      <c r="J68" s="10">
        <f>SUM(J56:J67)</f>
        <v>5.8312499999999998</v>
      </c>
      <c r="K68" s="9"/>
      <c r="L68" s="8"/>
      <c r="O68" s="13" t="s">
        <v>135</v>
      </c>
      <c r="P68" s="12"/>
      <c r="Q68" s="12"/>
      <c r="R68" s="12"/>
      <c r="S68" s="12"/>
      <c r="T68" s="12"/>
      <c r="U68" s="12"/>
      <c r="V68" s="11">
        <f>SUM(V56:V67)</f>
        <v>90.499999999999986</v>
      </c>
      <c r="W68" s="10">
        <f>SUM(W56:W67)</f>
        <v>5.6562499999999991</v>
      </c>
      <c r="X68" s="9"/>
      <c r="Y68" s="8"/>
    </row>
    <row r="69" spans="1:25" ht="15" thickTop="1" x14ac:dyDescent="0.3"/>
    <row r="70" spans="1:25" x14ac:dyDescent="0.3">
      <c r="A70" s="5" t="s">
        <v>332</v>
      </c>
      <c r="B70" s="5" t="s">
        <v>345</v>
      </c>
    </row>
    <row r="71" spans="1:25" x14ac:dyDescent="0.3">
      <c r="B71" s="5" t="s">
        <v>333</v>
      </c>
    </row>
    <row r="72" spans="1:25" x14ac:dyDescent="0.3">
      <c r="B72" s="5" t="s">
        <v>336</v>
      </c>
    </row>
    <row r="74" spans="1:25" x14ac:dyDescent="0.3">
      <c r="A74" s="5" t="s">
        <v>134</v>
      </c>
      <c r="B74" s="5" t="s">
        <v>338</v>
      </c>
    </row>
    <row r="75" spans="1:25" x14ac:dyDescent="0.3">
      <c r="B75" s="5" t="s">
        <v>150</v>
      </c>
    </row>
    <row r="76" spans="1:25" x14ac:dyDescent="0.3">
      <c r="B76" s="5" t="s">
        <v>133</v>
      </c>
    </row>
    <row r="77" spans="1:25" x14ac:dyDescent="0.3">
      <c r="B77" s="5" t="s">
        <v>337</v>
      </c>
    </row>
    <row r="79" spans="1:25" x14ac:dyDescent="0.3">
      <c r="A79" s="5" t="s">
        <v>132</v>
      </c>
      <c r="B79" s="5" t="s">
        <v>131</v>
      </c>
      <c r="C79" s="5"/>
      <c r="I79" s="6"/>
      <c r="L79" s="5"/>
      <c r="M79" s="6"/>
      <c r="P79" s="5"/>
      <c r="Q79" s="5"/>
      <c r="R79" s="5"/>
      <c r="S79" s="5"/>
      <c r="T79" s="5"/>
      <c r="U79" s="5"/>
      <c r="Y79" s="5"/>
    </row>
    <row r="80" spans="1:25" x14ac:dyDescent="0.3">
      <c r="B80" s="5" t="s">
        <v>130</v>
      </c>
      <c r="C80" s="5"/>
      <c r="I80" s="6"/>
      <c r="L80" s="5"/>
      <c r="M80" s="6"/>
      <c r="P80" s="5"/>
      <c r="Q80" s="5"/>
      <c r="R80" s="5"/>
      <c r="S80" s="5"/>
      <c r="T80" s="5"/>
      <c r="U80" s="5"/>
      <c r="Y80" s="5"/>
    </row>
    <row r="81" spans="1:34" x14ac:dyDescent="0.3">
      <c r="C81" s="5"/>
      <c r="I81" s="6"/>
      <c r="L81" s="5"/>
      <c r="M81" s="6"/>
      <c r="P81" s="5"/>
      <c r="Q81" s="5"/>
      <c r="R81" s="5"/>
      <c r="S81" s="5"/>
      <c r="T81" s="5"/>
      <c r="U81" s="5"/>
      <c r="Y81" s="5"/>
    </row>
    <row r="82" spans="1:34" x14ac:dyDescent="0.3">
      <c r="C82" s="5"/>
      <c r="I82" s="6"/>
      <c r="L82" s="5"/>
      <c r="M82" s="6"/>
      <c r="P82" s="5"/>
      <c r="Q82" s="5"/>
      <c r="R82" s="5"/>
      <c r="S82" s="5"/>
      <c r="T82" s="5"/>
      <c r="U82" s="5"/>
      <c r="Y82" s="5"/>
    </row>
    <row r="83" spans="1:34" x14ac:dyDescent="0.3">
      <c r="A83" s="5" t="s">
        <v>129</v>
      </c>
      <c r="B83" s="5" t="s">
        <v>217</v>
      </c>
      <c r="C83" s="5"/>
      <c r="I83" s="6"/>
      <c r="L83" s="5"/>
      <c r="M83" s="6"/>
      <c r="P83" s="5"/>
      <c r="Q83" s="5"/>
      <c r="R83" s="5"/>
      <c r="S83" s="5"/>
      <c r="T83" s="5"/>
      <c r="U83" s="5"/>
      <c r="Y83" s="5"/>
    </row>
    <row r="84" spans="1:34" x14ac:dyDescent="0.3">
      <c r="B84" s="5" t="s">
        <v>128</v>
      </c>
      <c r="C84" s="5"/>
      <c r="I84" s="6"/>
      <c r="L84" s="5"/>
      <c r="M84" s="6"/>
      <c r="P84" s="5"/>
      <c r="Q84" s="5"/>
      <c r="R84" s="5"/>
      <c r="S84" s="5"/>
      <c r="T84" s="5"/>
      <c r="U84" s="5"/>
      <c r="Y84" s="5"/>
    </row>
    <row r="85" spans="1:34" x14ac:dyDescent="0.3">
      <c r="B85" s="5" t="s">
        <v>127</v>
      </c>
      <c r="C85" s="5"/>
      <c r="I85" s="6"/>
      <c r="L85" s="5"/>
      <c r="M85" s="6"/>
      <c r="P85" s="5"/>
      <c r="Q85" s="5"/>
      <c r="R85" s="5"/>
      <c r="S85" s="5"/>
      <c r="T85" s="5"/>
      <c r="U85" s="5"/>
      <c r="Y85" s="5"/>
    </row>
    <row r="86" spans="1:34" x14ac:dyDescent="0.3">
      <c r="B86" s="5" t="s">
        <v>126</v>
      </c>
      <c r="C86" s="5"/>
      <c r="I86" s="6"/>
      <c r="L86" s="5"/>
      <c r="M86" s="6"/>
      <c r="P86" s="5"/>
      <c r="Q86" s="5"/>
      <c r="R86" s="5"/>
      <c r="S86" s="5"/>
      <c r="T86" s="5"/>
      <c r="U86" s="5"/>
      <c r="Y86" s="5"/>
    </row>
    <row r="87" spans="1:34" x14ac:dyDescent="0.3">
      <c r="B87" s="5" t="s">
        <v>331</v>
      </c>
    </row>
    <row r="88" spans="1:34" s="6" customFormat="1" x14ac:dyDescent="0.3">
      <c r="A88" s="5"/>
      <c r="B88" s="46" t="s">
        <v>339</v>
      </c>
      <c r="I88" s="5"/>
      <c r="J88" s="5"/>
      <c r="K88" s="5"/>
      <c r="M88" s="5"/>
      <c r="N88" s="5"/>
      <c r="O88" s="5"/>
      <c r="V88" s="5"/>
      <c r="W88" s="5"/>
      <c r="X88" s="5"/>
      <c r="Z88" s="5"/>
      <c r="AA88" s="5"/>
      <c r="AB88" s="5"/>
      <c r="AC88" s="5"/>
      <c r="AD88" s="5"/>
      <c r="AE88" s="5"/>
      <c r="AF88" s="5"/>
      <c r="AG88" s="5"/>
      <c r="AH88" s="5"/>
    </row>
    <row r="89" spans="1:34" s="6" customFormat="1" x14ac:dyDescent="0.3">
      <c r="A89" s="5"/>
      <c r="I89" s="5"/>
      <c r="J89" s="5"/>
      <c r="K89" s="5"/>
      <c r="M89" s="5"/>
      <c r="N89" s="5"/>
      <c r="O89" s="5"/>
      <c r="V89" s="5"/>
      <c r="W89" s="5"/>
      <c r="X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:34" s="6" customFormat="1" x14ac:dyDescent="0.3">
      <c r="A90" s="5"/>
      <c r="I90" s="5"/>
      <c r="J90" s="5"/>
      <c r="K90" s="5"/>
      <c r="M90" s="5"/>
      <c r="N90" s="5"/>
      <c r="O90" s="5"/>
      <c r="V90" s="5"/>
      <c r="W90" s="5"/>
      <c r="X90" s="5"/>
      <c r="Z90" s="5"/>
      <c r="AA90" s="5"/>
      <c r="AB90" s="5"/>
      <c r="AC90" s="5"/>
      <c r="AD90" s="5"/>
      <c r="AE90" s="5"/>
      <c r="AF90" s="5"/>
      <c r="AG90" s="5"/>
      <c r="AH90" s="5"/>
    </row>
    <row r="91" spans="1:34" s="6" customFormat="1" x14ac:dyDescent="0.3">
      <c r="A91" s="5"/>
      <c r="B91" s="7"/>
      <c r="I91" s="5"/>
      <c r="J91" s="5"/>
      <c r="K91" s="5"/>
      <c r="M91" s="5"/>
      <c r="N91" s="5"/>
      <c r="O91" s="5"/>
      <c r="V91" s="5"/>
      <c r="W91" s="5"/>
      <c r="X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4" s="6" customFormat="1" x14ac:dyDescent="0.3">
      <c r="A92" s="5"/>
      <c r="B92" s="7"/>
      <c r="I92" s="5"/>
      <c r="J92" s="5"/>
      <c r="K92" s="5"/>
      <c r="M92" s="5"/>
      <c r="N92" s="5"/>
      <c r="O92" s="5"/>
      <c r="V92" s="5"/>
      <c r="W92" s="5"/>
      <c r="X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:34" s="6" customFormat="1" x14ac:dyDescent="0.3">
      <c r="A93" s="5"/>
      <c r="B93" s="7"/>
      <c r="I93" s="5"/>
      <c r="J93" s="5"/>
      <c r="K93" s="5"/>
      <c r="M93" s="5"/>
      <c r="N93" s="5"/>
      <c r="O93" s="5"/>
      <c r="V93" s="5"/>
      <c r="W93" s="5"/>
      <c r="X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 s="6" customFormat="1" x14ac:dyDescent="0.3">
      <c r="A94" s="5"/>
      <c r="B94" s="7"/>
      <c r="I94" s="5"/>
      <c r="J94" s="5"/>
      <c r="K94" s="5"/>
      <c r="M94" s="5"/>
      <c r="N94" s="5"/>
      <c r="O94" s="5"/>
      <c r="V94" s="5"/>
      <c r="W94" s="5"/>
      <c r="X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 s="6" customFormat="1" x14ac:dyDescent="0.3">
      <c r="A95" s="5"/>
      <c r="B95" s="7"/>
      <c r="I95" s="5"/>
      <c r="J95" s="5"/>
      <c r="K95" s="5"/>
      <c r="M95" s="5"/>
      <c r="N95" s="5"/>
      <c r="O95" s="5"/>
      <c r="V95" s="5"/>
      <c r="W95" s="5"/>
      <c r="X95" s="5"/>
      <c r="Z95" s="5"/>
      <c r="AA95" s="5"/>
      <c r="AB95" s="5"/>
      <c r="AC95" s="5"/>
      <c r="AD95" s="5"/>
      <c r="AE95" s="5"/>
      <c r="AF95" s="5"/>
      <c r="AG95" s="5"/>
      <c r="AH95" s="5"/>
    </row>
    <row r="96" spans="1:34" s="6" customFormat="1" x14ac:dyDescent="0.3">
      <c r="A96" s="5"/>
      <c r="B96" s="7"/>
      <c r="I96" s="5"/>
      <c r="J96" s="5"/>
      <c r="K96" s="5"/>
      <c r="M96" s="5"/>
      <c r="N96" s="5"/>
      <c r="O96" s="5"/>
      <c r="V96" s="5"/>
      <c r="W96" s="5"/>
      <c r="X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 s="6" customFormat="1" x14ac:dyDescent="0.3">
      <c r="A97" s="5"/>
      <c r="B97" s="7"/>
      <c r="I97" s="5"/>
      <c r="J97" s="5"/>
      <c r="K97" s="5"/>
      <c r="M97" s="5"/>
      <c r="N97" s="5"/>
      <c r="O97" s="5"/>
      <c r="V97" s="5"/>
      <c r="W97" s="5"/>
      <c r="X97" s="5"/>
      <c r="Z97" s="5"/>
      <c r="AA97" s="5"/>
      <c r="AB97" s="5"/>
      <c r="AC97" s="5"/>
      <c r="AD97" s="5"/>
      <c r="AE97" s="5"/>
      <c r="AF97" s="5"/>
      <c r="AG97" s="5"/>
      <c r="AH97" s="5"/>
    </row>
    <row r="98" spans="1:34" s="6" customFormat="1" x14ac:dyDescent="0.3">
      <c r="A98" s="5"/>
      <c r="B98" s="7"/>
      <c r="I98" s="5"/>
      <c r="J98" s="5"/>
      <c r="K98" s="5"/>
      <c r="M98" s="5"/>
      <c r="N98" s="5"/>
      <c r="O98" s="5"/>
      <c r="V98" s="5"/>
      <c r="W98" s="5"/>
      <c r="X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s="6" customFormat="1" x14ac:dyDescent="0.3">
      <c r="A99" s="5"/>
      <c r="B99" s="7"/>
      <c r="I99" s="5"/>
      <c r="J99" s="5"/>
      <c r="K99" s="5"/>
      <c r="M99" s="5"/>
      <c r="N99" s="5"/>
      <c r="O99" s="5"/>
      <c r="V99" s="5"/>
      <c r="W99" s="5"/>
      <c r="X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 s="6" customFormat="1" x14ac:dyDescent="0.3">
      <c r="A100" s="5"/>
      <c r="B100" s="7"/>
      <c r="I100" s="5"/>
      <c r="J100" s="5"/>
      <c r="K100" s="5"/>
      <c r="M100" s="5"/>
      <c r="N100" s="5"/>
      <c r="O100" s="5"/>
      <c r="V100" s="5"/>
      <c r="W100" s="5"/>
      <c r="X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 s="6" customFormat="1" x14ac:dyDescent="0.3">
      <c r="A101" s="5"/>
      <c r="B101" s="7"/>
      <c r="I101" s="5"/>
      <c r="J101" s="5"/>
      <c r="K101" s="5"/>
      <c r="M101" s="5"/>
      <c r="N101" s="5"/>
      <c r="O101" s="5"/>
      <c r="V101" s="5"/>
      <c r="W101" s="5"/>
      <c r="X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 s="6" customFormat="1" x14ac:dyDescent="0.3">
      <c r="A102" s="5"/>
      <c r="B102" s="7"/>
      <c r="I102" s="5"/>
      <c r="J102" s="5"/>
      <c r="K102" s="5"/>
      <c r="M102" s="5"/>
      <c r="N102" s="5"/>
      <c r="O102" s="5"/>
      <c r="V102" s="5"/>
      <c r="W102" s="5"/>
      <c r="X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s="6" customFormat="1" x14ac:dyDescent="0.3">
      <c r="A103" s="5"/>
      <c r="B103" s="7"/>
      <c r="I103" s="5"/>
      <c r="J103" s="5"/>
      <c r="K103" s="5"/>
      <c r="M103" s="5"/>
      <c r="N103" s="5"/>
      <c r="O103" s="5"/>
      <c r="V103" s="5"/>
      <c r="W103" s="5"/>
      <c r="X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 s="6" customFormat="1" x14ac:dyDescent="0.3">
      <c r="A104" s="5"/>
      <c r="B104" s="7"/>
      <c r="I104" s="5"/>
      <c r="J104" s="5"/>
      <c r="K104" s="5"/>
      <c r="M104" s="5"/>
      <c r="N104" s="5"/>
      <c r="O104" s="5"/>
      <c r="V104" s="5"/>
      <c r="W104" s="5"/>
      <c r="X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s="6" customFormat="1" x14ac:dyDescent="0.3">
      <c r="A105" s="5"/>
      <c r="B105" s="7"/>
      <c r="I105" s="5"/>
      <c r="J105" s="5"/>
      <c r="K105" s="5"/>
      <c r="M105" s="5"/>
      <c r="N105" s="5"/>
      <c r="O105" s="5"/>
      <c r="V105" s="5"/>
      <c r="W105" s="5"/>
      <c r="X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s="6" customFormat="1" x14ac:dyDescent="0.3">
      <c r="A106" s="5"/>
      <c r="B106" s="7"/>
      <c r="I106" s="5"/>
      <c r="J106" s="5"/>
      <c r="K106" s="5"/>
      <c r="M106" s="5"/>
      <c r="N106" s="5"/>
      <c r="O106" s="5"/>
      <c r="V106" s="5"/>
      <c r="W106" s="5"/>
      <c r="X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s="6" customFormat="1" x14ac:dyDescent="0.3">
      <c r="A107" s="5"/>
      <c r="B107" s="7"/>
      <c r="I107" s="5"/>
      <c r="J107" s="5"/>
      <c r="K107" s="5"/>
      <c r="M107" s="5"/>
      <c r="N107" s="5"/>
      <c r="O107" s="5"/>
      <c r="V107" s="5"/>
      <c r="W107" s="5"/>
      <c r="X107" s="5"/>
      <c r="Z107" s="5"/>
      <c r="AA107" s="5"/>
      <c r="AB107" s="5"/>
      <c r="AC107" s="5"/>
      <c r="AD107" s="5"/>
      <c r="AE107" s="5"/>
      <c r="AF107" s="5"/>
      <c r="AG107" s="5"/>
      <c r="AH107" s="5"/>
    </row>
  </sheetData>
  <mergeCells count="44">
    <mergeCell ref="A2:A3"/>
    <mergeCell ref="L2:L3"/>
    <mergeCell ref="A4:A6"/>
    <mergeCell ref="N4:N6"/>
    <mergeCell ref="Y4:Y6"/>
    <mergeCell ref="A7:A11"/>
    <mergeCell ref="L7:L13"/>
    <mergeCell ref="N7:N11"/>
    <mergeCell ref="Y7:Y13"/>
    <mergeCell ref="A12:A13"/>
    <mergeCell ref="N12:N13"/>
    <mergeCell ref="Y15:Y18"/>
    <mergeCell ref="L19:L23"/>
    <mergeCell ref="Y19:Y20"/>
    <mergeCell ref="Y21:Y23"/>
    <mergeCell ref="L24:L25"/>
    <mergeCell ref="Y24:Y25"/>
    <mergeCell ref="A14:A25"/>
    <mergeCell ref="N14:N25"/>
    <mergeCell ref="L15:L18"/>
    <mergeCell ref="A26:A28"/>
    <mergeCell ref="L26:L28"/>
    <mergeCell ref="N26:N28"/>
    <mergeCell ref="Y26:Y28"/>
    <mergeCell ref="A30:A32"/>
    <mergeCell ref="N30:N32"/>
    <mergeCell ref="Y40:Y44"/>
    <mergeCell ref="A45:A49"/>
    <mergeCell ref="L45:L49"/>
    <mergeCell ref="N45:N49"/>
    <mergeCell ref="Y45:Y49"/>
    <mergeCell ref="Y36:Y39"/>
    <mergeCell ref="A33:A35"/>
    <mergeCell ref="N33:N35"/>
    <mergeCell ref="A36:A39"/>
    <mergeCell ref="L36:L39"/>
    <mergeCell ref="N36:N39"/>
    <mergeCell ref="A52:A54"/>
    <mergeCell ref="N52:N54"/>
    <mergeCell ref="A56:A67"/>
    <mergeCell ref="N56:N67"/>
    <mergeCell ref="A40:A44"/>
    <mergeCell ref="L40:L44"/>
    <mergeCell ref="N40:N44"/>
  </mergeCells>
  <printOptions gridLines="1"/>
  <pageMargins left="0" right="0" top="0" bottom="0" header="0" footer="0"/>
  <pageSetup scale="45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CB1C-75FF-4C70-AD60-D8B629B31730}">
  <dimension ref="A1:P72"/>
  <sheetViews>
    <sheetView workbookViewId="0">
      <selection activeCell="J57" sqref="J57"/>
    </sheetView>
  </sheetViews>
  <sheetFormatPr defaultRowHeight="14.4" x14ac:dyDescent="0.3"/>
  <cols>
    <col min="2" max="2" width="18.44140625" customWidth="1"/>
    <col min="3" max="6" width="15" bestFit="1" customWidth="1"/>
    <col min="7" max="7" width="9.5546875" bestFit="1" customWidth="1"/>
  </cols>
  <sheetData>
    <row r="1" spans="1:14" x14ac:dyDescent="0.3">
      <c r="H1" t="s">
        <v>219</v>
      </c>
      <c r="K1" t="s">
        <v>234</v>
      </c>
      <c r="M1" t="s">
        <v>300</v>
      </c>
    </row>
    <row r="2" spans="1:14" x14ac:dyDescent="0.3">
      <c r="C2" t="s">
        <v>211</v>
      </c>
      <c r="D2" t="s">
        <v>298</v>
      </c>
      <c r="E2" t="s">
        <v>299</v>
      </c>
      <c r="F2" s="45" t="s">
        <v>293</v>
      </c>
      <c r="H2" t="s">
        <v>220</v>
      </c>
      <c r="I2" t="s">
        <v>221</v>
      </c>
      <c r="K2" t="s">
        <v>211</v>
      </c>
      <c r="L2" t="s">
        <v>298</v>
      </c>
      <c r="M2" t="s">
        <v>211</v>
      </c>
      <c r="N2" t="s">
        <v>298</v>
      </c>
    </row>
    <row r="3" spans="1:14" x14ac:dyDescent="0.3">
      <c r="A3" t="s">
        <v>222</v>
      </c>
      <c r="B3" s="5" t="s">
        <v>125</v>
      </c>
      <c r="C3">
        <v>1.7</v>
      </c>
      <c r="D3">
        <v>170</v>
      </c>
      <c r="E3" s="38">
        <f t="shared" ref="E3:E37" si="0">D3/C3</f>
        <v>100</v>
      </c>
      <c r="F3">
        <v>6</v>
      </c>
      <c r="H3">
        <f>C3*F3</f>
        <v>10.199999999999999</v>
      </c>
      <c r="I3">
        <f>D3*F3</f>
        <v>1020</v>
      </c>
    </row>
    <row r="4" spans="1:14" x14ac:dyDescent="0.3">
      <c r="B4" s="5" t="s">
        <v>124</v>
      </c>
      <c r="C4">
        <v>1.2</v>
      </c>
      <c r="D4">
        <v>100</v>
      </c>
      <c r="E4" s="38">
        <f t="shared" si="0"/>
        <v>83.333333333333343</v>
      </c>
      <c r="F4">
        <v>6</v>
      </c>
      <c r="H4">
        <f>C4*F4</f>
        <v>7.1999999999999993</v>
      </c>
      <c r="I4">
        <f>D4*F4</f>
        <v>600</v>
      </c>
    </row>
    <row r="5" spans="1:14" x14ac:dyDescent="0.3">
      <c r="B5" s="5" t="s">
        <v>296</v>
      </c>
      <c r="C5">
        <f>0.4/5</f>
        <v>0.08</v>
      </c>
      <c r="D5">
        <v>0</v>
      </c>
      <c r="E5" s="38">
        <f t="shared" si="0"/>
        <v>0</v>
      </c>
      <c r="F5">
        <v>5</v>
      </c>
      <c r="H5">
        <f>C5*F5</f>
        <v>0.4</v>
      </c>
      <c r="I5">
        <f>D5*F5</f>
        <v>0</v>
      </c>
    </row>
    <row r="6" spans="1:14" x14ac:dyDescent="0.3">
      <c r="B6" s="5" t="s">
        <v>297</v>
      </c>
      <c r="C6">
        <v>0.5</v>
      </c>
      <c r="D6">
        <v>50</v>
      </c>
      <c r="E6" s="38">
        <f t="shared" si="0"/>
        <v>100</v>
      </c>
      <c r="F6">
        <v>5</v>
      </c>
      <c r="H6">
        <f>C6*F6</f>
        <v>2.5</v>
      </c>
      <c r="I6">
        <f>D6*F6</f>
        <v>250</v>
      </c>
    </row>
    <row r="7" spans="1:14" x14ac:dyDescent="0.3">
      <c r="B7" s="5" t="s">
        <v>224</v>
      </c>
      <c r="C7">
        <v>3.7</v>
      </c>
      <c r="D7">
        <v>400</v>
      </c>
      <c r="E7" s="38">
        <f t="shared" si="0"/>
        <v>108.1081081081081</v>
      </c>
      <c r="F7">
        <v>2</v>
      </c>
      <c r="H7">
        <f>C7*F7</f>
        <v>7.4</v>
      </c>
      <c r="I7">
        <f>D7*F7</f>
        <v>800</v>
      </c>
      <c r="K7">
        <f>SUM(H3:H7)</f>
        <v>27.699999999999996</v>
      </c>
      <c r="L7">
        <f>SUM(I3:I7)</f>
        <v>2670</v>
      </c>
      <c r="M7">
        <f>K7/5</f>
        <v>5.5399999999999991</v>
      </c>
      <c r="N7">
        <f>L7/5</f>
        <v>534</v>
      </c>
    </row>
    <row r="8" spans="1:14" x14ac:dyDescent="0.3">
      <c r="B8" s="5" t="s">
        <v>289</v>
      </c>
      <c r="E8" s="38"/>
    </row>
    <row r="9" spans="1:14" x14ac:dyDescent="0.3">
      <c r="A9" t="s">
        <v>225</v>
      </c>
      <c r="B9" s="5" t="s">
        <v>226</v>
      </c>
      <c r="C9">
        <f>21.6/10</f>
        <v>2.16</v>
      </c>
      <c r="D9">
        <v>170</v>
      </c>
      <c r="E9" s="38">
        <f t="shared" si="0"/>
        <v>78.703703703703695</v>
      </c>
      <c r="F9">
        <v>10</v>
      </c>
      <c r="H9">
        <f t="shared" ref="H9:H15" si="1">C9*F9</f>
        <v>21.6</v>
      </c>
      <c r="I9">
        <f t="shared" ref="I9:I15" si="2">D9*F9</f>
        <v>1700</v>
      </c>
    </row>
    <row r="10" spans="1:14" x14ac:dyDescent="0.3">
      <c r="B10" s="5" t="s">
        <v>319</v>
      </c>
      <c r="C10">
        <v>1.7</v>
      </c>
      <c r="D10">
        <v>190</v>
      </c>
      <c r="E10" s="38">
        <f t="shared" si="0"/>
        <v>111.76470588235294</v>
      </c>
      <c r="F10">
        <v>4</v>
      </c>
      <c r="H10">
        <f t="shared" si="1"/>
        <v>6.8</v>
      </c>
      <c r="I10">
        <f t="shared" si="2"/>
        <v>760</v>
      </c>
    </row>
    <row r="11" spans="1:14" x14ac:dyDescent="0.3">
      <c r="B11" s="5" t="s">
        <v>227</v>
      </c>
      <c r="C11">
        <v>4.5</v>
      </c>
      <c r="D11">
        <f>130*4.5</f>
        <v>585</v>
      </c>
      <c r="E11" s="38">
        <f t="shared" si="0"/>
        <v>130</v>
      </c>
      <c r="H11">
        <f t="shared" si="1"/>
        <v>0</v>
      </c>
      <c r="I11">
        <f t="shared" si="2"/>
        <v>0</v>
      </c>
    </row>
    <row r="12" spans="1:14" x14ac:dyDescent="0.3">
      <c r="B12" s="5" t="s">
        <v>318</v>
      </c>
      <c r="C12">
        <v>1</v>
      </c>
      <c r="D12">
        <v>90</v>
      </c>
      <c r="E12" s="38">
        <f t="shared" si="0"/>
        <v>90</v>
      </c>
      <c r="F12">
        <v>4</v>
      </c>
      <c r="H12">
        <f t="shared" si="1"/>
        <v>4</v>
      </c>
      <c r="I12">
        <f t="shared" si="2"/>
        <v>360</v>
      </c>
    </row>
    <row r="13" spans="1:14" x14ac:dyDescent="0.3">
      <c r="B13" s="5" t="s">
        <v>218</v>
      </c>
      <c r="C13">
        <v>6.3</v>
      </c>
      <c r="D13">
        <f>170*6</f>
        <v>1020</v>
      </c>
      <c r="E13" s="38">
        <f t="shared" si="0"/>
        <v>161.9047619047619</v>
      </c>
      <c r="F13">
        <v>1</v>
      </c>
      <c r="H13">
        <f t="shared" si="1"/>
        <v>6.3</v>
      </c>
      <c r="I13">
        <f t="shared" si="2"/>
        <v>1020</v>
      </c>
    </row>
    <row r="14" spans="1:14" x14ac:dyDescent="0.3">
      <c r="B14" s="5" t="s">
        <v>317</v>
      </c>
      <c r="C14">
        <v>10.8</v>
      </c>
      <c r="D14">
        <f>11*160</f>
        <v>1760</v>
      </c>
      <c r="E14" s="38">
        <f t="shared" si="0"/>
        <v>162.96296296296296</v>
      </c>
      <c r="F14">
        <v>1</v>
      </c>
      <c r="H14">
        <f t="shared" si="1"/>
        <v>10.8</v>
      </c>
      <c r="I14">
        <f t="shared" si="2"/>
        <v>1760</v>
      </c>
    </row>
    <row r="15" spans="1:14" x14ac:dyDescent="0.3">
      <c r="B15" s="5" t="s">
        <v>284</v>
      </c>
      <c r="C15">
        <v>11.4</v>
      </c>
      <c r="D15">
        <f>190*8</f>
        <v>1520</v>
      </c>
      <c r="E15" s="38">
        <f t="shared" si="0"/>
        <v>133.33333333333334</v>
      </c>
      <c r="F15">
        <v>1</v>
      </c>
      <c r="H15">
        <f t="shared" si="1"/>
        <v>11.4</v>
      </c>
      <c r="I15">
        <f t="shared" si="2"/>
        <v>1520</v>
      </c>
    </row>
    <row r="16" spans="1:14" x14ac:dyDescent="0.3">
      <c r="B16" s="5"/>
      <c r="E16" s="38"/>
    </row>
    <row r="17" spans="1:16" x14ac:dyDescent="0.3">
      <c r="B17" s="5" t="s">
        <v>228</v>
      </c>
      <c r="C17">
        <v>9.9</v>
      </c>
      <c r="D17">
        <f>160*9</f>
        <v>1440</v>
      </c>
      <c r="E17" s="38">
        <f t="shared" si="0"/>
        <v>145.45454545454544</v>
      </c>
      <c r="F17">
        <v>1</v>
      </c>
      <c r="H17">
        <f>C17*F17</f>
        <v>9.9</v>
      </c>
      <c r="I17">
        <f>D17*F17</f>
        <v>1440</v>
      </c>
    </row>
    <row r="18" spans="1:16" x14ac:dyDescent="0.3">
      <c r="B18" s="5" t="s">
        <v>314</v>
      </c>
      <c r="C18">
        <v>8.1</v>
      </c>
      <c r="D18">
        <f>120*7</f>
        <v>840</v>
      </c>
      <c r="E18" s="38">
        <f t="shared" si="0"/>
        <v>103.70370370370371</v>
      </c>
      <c r="F18">
        <v>1</v>
      </c>
      <c r="H18">
        <f>C18*F18</f>
        <v>8.1</v>
      </c>
      <c r="I18">
        <f>D18*F18</f>
        <v>840</v>
      </c>
    </row>
    <row r="19" spans="1:16" x14ac:dyDescent="0.3">
      <c r="B19" s="5" t="s">
        <v>315</v>
      </c>
      <c r="C19">
        <v>5.4</v>
      </c>
      <c r="D19">
        <f>140*3.5</f>
        <v>490</v>
      </c>
      <c r="E19" s="38">
        <f t="shared" si="0"/>
        <v>90.740740740740733</v>
      </c>
      <c r="F19">
        <v>1</v>
      </c>
      <c r="H19">
        <f>C19*F19</f>
        <v>5.4</v>
      </c>
      <c r="I19">
        <f>D19*F19</f>
        <v>490</v>
      </c>
    </row>
    <row r="20" spans="1:16" x14ac:dyDescent="0.3">
      <c r="B20" s="5" t="s">
        <v>325</v>
      </c>
      <c r="C20">
        <v>1.2</v>
      </c>
      <c r="D20">
        <v>100</v>
      </c>
      <c r="E20" s="38">
        <f t="shared" si="0"/>
        <v>83.333333333333343</v>
      </c>
      <c r="F20">
        <v>4</v>
      </c>
      <c r="H20">
        <f>C20*F20</f>
        <v>4.8</v>
      </c>
      <c r="I20">
        <f>D20*F20</f>
        <v>400</v>
      </c>
    </row>
    <row r="21" spans="1:16" x14ac:dyDescent="0.3">
      <c r="B21" s="5" t="s">
        <v>316</v>
      </c>
      <c r="C21">
        <v>14.5</v>
      </c>
      <c r="D21">
        <f>C21*140</f>
        <v>2030</v>
      </c>
      <c r="E21" s="38">
        <f t="shared" si="0"/>
        <v>140</v>
      </c>
      <c r="F21">
        <v>1</v>
      </c>
      <c r="H21">
        <f>C21*F21</f>
        <v>14.5</v>
      </c>
      <c r="I21">
        <f>D21*F21</f>
        <v>2030</v>
      </c>
    </row>
    <row r="22" spans="1:16" x14ac:dyDescent="0.3">
      <c r="B22" s="5"/>
      <c r="E22" s="38"/>
      <c r="K22">
        <f>SUM(H9:H22)</f>
        <v>103.6</v>
      </c>
      <c r="L22">
        <f>SUM(I9:I22)</f>
        <v>12320</v>
      </c>
      <c r="M22">
        <f>K22/5</f>
        <v>20.72</v>
      </c>
      <c r="N22">
        <f>L22/5</f>
        <v>2464</v>
      </c>
    </row>
    <row r="23" spans="1:16" x14ac:dyDescent="0.3">
      <c r="B23" s="5"/>
      <c r="E23" s="38"/>
      <c r="O23" t="s">
        <v>311</v>
      </c>
    </row>
    <row r="24" spans="1:16" x14ac:dyDescent="0.3">
      <c r="A24" t="s">
        <v>231</v>
      </c>
      <c r="B24" s="5" t="s">
        <v>290</v>
      </c>
      <c r="C24">
        <v>1.4</v>
      </c>
      <c r="D24">
        <v>190</v>
      </c>
      <c r="E24" s="38">
        <f t="shared" si="0"/>
        <v>135.71428571428572</v>
      </c>
      <c r="F24">
        <v>6</v>
      </c>
      <c r="H24">
        <f t="shared" ref="H24:H37" si="3">C24*F24</f>
        <v>8.3999999999999986</v>
      </c>
      <c r="I24">
        <f t="shared" ref="I24:I37" si="4">D24*F24</f>
        <v>1140</v>
      </c>
    </row>
    <row r="25" spans="1:16" x14ac:dyDescent="0.3">
      <c r="B25" s="5" t="s">
        <v>312</v>
      </c>
      <c r="C25">
        <v>9.6999999999999993</v>
      </c>
      <c r="D25">
        <f>C25*120</f>
        <v>1164</v>
      </c>
      <c r="E25" s="38">
        <f t="shared" si="0"/>
        <v>120.00000000000001</v>
      </c>
      <c r="F25">
        <v>1</v>
      </c>
      <c r="H25">
        <f t="shared" si="3"/>
        <v>9.6999999999999993</v>
      </c>
      <c r="I25">
        <f t="shared" si="4"/>
        <v>1164</v>
      </c>
    </row>
    <row r="26" spans="1:16" x14ac:dyDescent="0.3">
      <c r="B26" s="5" t="s">
        <v>313</v>
      </c>
      <c r="C26">
        <v>4.3</v>
      </c>
      <c r="D26">
        <f>60*14/2</f>
        <v>420</v>
      </c>
      <c r="E26" s="38">
        <f t="shared" si="0"/>
        <v>97.674418604651166</v>
      </c>
      <c r="F26">
        <v>1</v>
      </c>
      <c r="H26">
        <f t="shared" si="3"/>
        <v>4.3</v>
      </c>
      <c r="I26">
        <f t="shared" si="4"/>
        <v>420</v>
      </c>
      <c r="O26">
        <v>17</v>
      </c>
      <c r="P26" t="s">
        <v>230</v>
      </c>
    </row>
    <row r="27" spans="1:16" x14ac:dyDescent="0.3">
      <c r="B27" s="5" t="s">
        <v>285</v>
      </c>
      <c r="C27">
        <v>1.9</v>
      </c>
      <c r="D27">
        <v>150</v>
      </c>
      <c r="E27" s="38">
        <f t="shared" si="0"/>
        <v>78.94736842105263</v>
      </c>
      <c r="F27">
        <v>1</v>
      </c>
      <c r="H27">
        <f t="shared" si="3"/>
        <v>1.9</v>
      </c>
      <c r="I27">
        <f t="shared" si="4"/>
        <v>150</v>
      </c>
      <c r="O27">
        <v>8</v>
      </c>
      <c r="P27" t="s">
        <v>322</v>
      </c>
    </row>
    <row r="28" spans="1:16" x14ac:dyDescent="0.3">
      <c r="B28" t="s">
        <v>301</v>
      </c>
      <c r="C28">
        <v>6.2</v>
      </c>
      <c r="D28">
        <v>830</v>
      </c>
      <c r="E28" s="38">
        <f t="shared" si="0"/>
        <v>133.87096774193549</v>
      </c>
      <c r="F28">
        <v>1</v>
      </c>
      <c r="H28">
        <f t="shared" si="3"/>
        <v>6.2</v>
      </c>
      <c r="I28">
        <f t="shared" si="4"/>
        <v>830</v>
      </c>
      <c r="O28">
        <v>7</v>
      </c>
      <c r="P28" t="s">
        <v>323</v>
      </c>
    </row>
    <row r="29" spans="1:16" x14ac:dyDescent="0.3">
      <c r="B29" s="5" t="s">
        <v>302</v>
      </c>
      <c r="C29">
        <v>4.5999999999999996</v>
      </c>
      <c r="D29">
        <v>500</v>
      </c>
      <c r="E29" s="38">
        <f t="shared" si="0"/>
        <v>108.69565217391305</v>
      </c>
      <c r="F29">
        <v>1</v>
      </c>
      <c r="H29">
        <f t="shared" si="3"/>
        <v>4.5999999999999996</v>
      </c>
      <c r="I29">
        <f t="shared" si="4"/>
        <v>500</v>
      </c>
      <c r="O29">
        <v>20</v>
      </c>
      <c r="P29" t="s">
        <v>229</v>
      </c>
    </row>
    <row r="30" spans="1:16" x14ac:dyDescent="0.3">
      <c r="B30" s="5" t="s">
        <v>303</v>
      </c>
      <c r="C30">
        <v>5.7</v>
      </c>
      <c r="D30">
        <v>740</v>
      </c>
      <c r="E30" s="38">
        <f t="shared" si="0"/>
        <v>129.82456140350877</v>
      </c>
      <c r="F30">
        <v>1</v>
      </c>
      <c r="H30">
        <f t="shared" si="3"/>
        <v>5.7</v>
      </c>
      <c r="I30">
        <f t="shared" si="4"/>
        <v>740</v>
      </c>
      <c r="O30">
        <f>SUM(O26:O29)</f>
        <v>52</v>
      </c>
    </row>
    <row r="31" spans="1:16" x14ac:dyDescent="0.3">
      <c r="B31" s="5" t="s">
        <v>304</v>
      </c>
      <c r="C31">
        <v>5.7</v>
      </c>
      <c r="D31">
        <v>810</v>
      </c>
      <c r="E31" s="38">
        <f t="shared" si="0"/>
        <v>142.10526315789474</v>
      </c>
      <c r="F31">
        <v>1</v>
      </c>
      <c r="H31">
        <f t="shared" si="3"/>
        <v>5.7</v>
      </c>
      <c r="I31">
        <f t="shared" si="4"/>
        <v>810</v>
      </c>
    </row>
    <row r="32" spans="1:16" x14ac:dyDescent="0.3">
      <c r="B32" s="5" t="s">
        <v>305</v>
      </c>
      <c r="C32">
        <v>6.4</v>
      </c>
      <c r="D32">
        <v>910</v>
      </c>
      <c r="E32" s="38">
        <f t="shared" si="0"/>
        <v>142.1875</v>
      </c>
      <c r="F32">
        <v>1</v>
      </c>
      <c r="H32">
        <f t="shared" si="3"/>
        <v>6.4</v>
      </c>
      <c r="I32">
        <f t="shared" si="4"/>
        <v>910</v>
      </c>
    </row>
    <row r="33" spans="1:16" x14ac:dyDescent="0.3">
      <c r="B33" t="s">
        <v>306</v>
      </c>
      <c r="C33">
        <v>3.1</v>
      </c>
      <c r="D33">
        <v>380</v>
      </c>
      <c r="E33" s="38">
        <f t="shared" si="0"/>
        <v>122.58064516129032</v>
      </c>
      <c r="F33">
        <v>3</v>
      </c>
      <c r="H33">
        <f t="shared" si="3"/>
        <v>9.3000000000000007</v>
      </c>
      <c r="I33">
        <f t="shared" si="4"/>
        <v>1140</v>
      </c>
    </row>
    <row r="34" spans="1:16" x14ac:dyDescent="0.3">
      <c r="B34" s="5" t="s">
        <v>307</v>
      </c>
      <c r="C34">
        <v>3.1</v>
      </c>
      <c r="D34">
        <v>390</v>
      </c>
      <c r="E34" s="38">
        <f t="shared" si="0"/>
        <v>125.80645161290322</v>
      </c>
      <c r="F34">
        <v>1</v>
      </c>
      <c r="H34">
        <f t="shared" si="3"/>
        <v>3.1</v>
      </c>
      <c r="I34">
        <f t="shared" si="4"/>
        <v>390</v>
      </c>
    </row>
    <row r="35" spans="1:16" x14ac:dyDescent="0.3">
      <c r="B35" t="s">
        <v>308</v>
      </c>
      <c r="C35">
        <v>3.2</v>
      </c>
      <c r="D35">
        <v>390</v>
      </c>
      <c r="E35" s="38">
        <f t="shared" si="0"/>
        <v>121.875</v>
      </c>
      <c r="F35">
        <v>1</v>
      </c>
      <c r="H35">
        <f t="shared" si="3"/>
        <v>3.2</v>
      </c>
      <c r="I35">
        <f t="shared" si="4"/>
        <v>390</v>
      </c>
    </row>
    <row r="36" spans="1:16" x14ac:dyDescent="0.3">
      <c r="B36" t="s">
        <v>233</v>
      </c>
      <c r="C36">
        <v>1.5</v>
      </c>
      <c r="D36">
        <v>160</v>
      </c>
      <c r="E36" s="38">
        <f t="shared" si="0"/>
        <v>106.66666666666667</v>
      </c>
      <c r="F36">
        <v>6</v>
      </c>
      <c r="H36">
        <f t="shared" si="3"/>
        <v>9</v>
      </c>
      <c r="I36">
        <f t="shared" si="4"/>
        <v>960</v>
      </c>
    </row>
    <row r="37" spans="1:16" x14ac:dyDescent="0.3">
      <c r="B37" t="s">
        <v>309</v>
      </c>
      <c r="C37">
        <v>8.1999999999999993</v>
      </c>
      <c r="D37">
        <v>780</v>
      </c>
      <c r="E37" s="38">
        <f t="shared" si="0"/>
        <v>95.121951219512198</v>
      </c>
      <c r="F37">
        <v>1</v>
      </c>
      <c r="H37">
        <f t="shared" si="3"/>
        <v>8.1999999999999993</v>
      </c>
      <c r="I37">
        <f t="shared" si="4"/>
        <v>780</v>
      </c>
      <c r="K37">
        <f>SUM(H24:H37)</f>
        <v>85.7</v>
      </c>
      <c r="L37">
        <f>SUM(I24:I37)</f>
        <v>10324</v>
      </c>
      <c r="M37">
        <f>K37/5</f>
        <v>17.14</v>
      </c>
      <c r="N37">
        <f>L37/5</f>
        <v>2064.8000000000002</v>
      </c>
      <c r="P37" t="s">
        <v>310</v>
      </c>
    </row>
    <row r="38" spans="1:16" x14ac:dyDescent="0.3">
      <c r="E38" s="38"/>
    </row>
    <row r="39" spans="1:16" x14ac:dyDescent="0.3">
      <c r="B39" t="s">
        <v>327</v>
      </c>
      <c r="E39" s="38"/>
      <c r="K39">
        <v>11.3</v>
      </c>
    </row>
    <row r="40" spans="1:16" x14ac:dyDescent="0.3">
      <c r="B40" t="s">
        <v>328</v>
      </c>
      <c r="E40" s="38"/>
      <c r="K40">
        <v>1.1000000000000001</v>
      </c>
    </row>
    <row r="42" spans="1:16" x14ac:dyDescent="0.3">
      <c r="G42" t="s">
        <v>234</v>
      </c>
      <c r="H42">
        <f>SUM(H3:H41)</f>
        <v>216.99999999999997</v>
      </c>
      <c r="I42">
        <f>SUM(I3:I41)</f>
        <v>25314</v>
      </c>
      <c r="K42">
        <f>K7+K22+K37+K39+K40</f>
        <v>229.4</v>
      </c>
      <c r="L42">
        <f>L7+L22+L37</f>
        <v>25314</v>
      </c>
      <c r="M42">
        <f>M7+M22+M37</f>
        <v>43.4</v>
      </c>
      <c r="N42">
        <f>N7+N22+N37</f>
        <v>5062.8</v>
      </c>
      <c r="O42">
        <f>N42/2</f>
        <v>2531.4</v>
      </c>
      <c r="P42" t="s">
        <v>320</v>
      </c>
    </row>
    <row r="43" spans="1:16" x14ac:dyDescent="0.3">
      <c r="H43">
        <f>H42/16</f>
        <v>13.562499999999998</v>
      </c>
      <c r="K43">
        <f>K42/16</f>
        <v>14.3375</v>
      </c>
      <c r="O43">
        <f>K43/10</f>
        <v>1.4337500000000001</v>
      </c>
      <c r="P43" t="s">
        <v>321</v>
      </c>
    </row>
    <row r="44" spans="1:16" x14ac:dyDescent="0.3">
      <c r="J44" t="s">
        <v>324</v>
      </c>
      <c r="K44">
        <v>14.34</v>
      </c>
    </row>
    <row r="45" spans="1:16" x14ac:dyDescent="0.3">
      <c r="J45" t="s">
        <v>326</v>
      </c>
      <c r="K45">
        <f>K44-K43</f>
        <v>2.4999999999995026E-3</v>
      </c>
    </row>
    <row r="46" spans="1:16" x14ac:dyDescent="0.3">
      <c r="B46" t="s">
        <v>35</v>
      </c>
      <c r="C46" t="s">
        <v>36</v>
      </c>
      <c r="D46" t="s">
        <v>38</v>
      </c>
      <c r="E46" t="s">
        <v>40</v>
      </c>
      <c r="F46" t="s">
        <v>277</v>
      </c>
      <c r="G46" t="s">
        <v>278</v>
      </c>
    </row>
    <row r="47" spans="1:16" x14ac:dyDescent="0.3">
      <c r="A47" t="s">
        <v>222</v>
      </c>
      <c r="C47" t="s">
        <v>125</v>
      </c>
      <c r="E47" t="s">
        <v>125</v>
      </c>
      <c r="G47" t="s">
        <v>125</v>
      </c>
    </row>
    <row r="48" spans="1:16" x14ac:dyDescent="0.3">
      <c r="C48" t="s">
        <v>223</v>
      </c>
      <c r="D48" t="s">
        <v>223</v>
      </c>
      <c r="E48" t="s">
        <v>223</v>
      </c>
      <c r="F48" t="s">
        <v>223</v>
      </c>
      <c r="G48" t="s">
        <v>223</v>
      </c>
    </row>
    <row r="49" spans="1:7" x14ac:dyDescent="0.3">
      <c r="C49" t="s">
        <v>124</v>
      </c>
      <c r="E49" t="s">
        <v>124</v>
      </c>
      <c r="G49" t="s">
        <v>124</v>
      </c>
    </row>
    <row r="50" spans="1:7" x14ac:dyDescent="0.3">
      <c r="D50" t="s">
        <v>224</v>
      </c>
      <c r="F50" t="s">
        <v>224</v>
      </c>
    </row>
    <row r="51" spans="1:7" x14ac:dyDescent="0.3">
      <c r="C51" t="s">
        <v>289</v>
      </c>
      <c r="D51" t="s">
        <v>289</v>
      </c>
      <c r="E51" t="s">
        <v>289</v>
      </c>
      <c r="F51" t="s">
        <v>289</v>
      </c>
      <c r="G51" t="s">
        <v>289</v>
      </c>
    </row>
    <row r="53" spans="1:7" x14ac:dyDescent="0.3">
      <c r="A53" t="s">
        <v>225</v>
      </c>
      <c r="B53" t="s">
        <v>123</v>
      </c>
    </row>
    <row r="54" spans="1:7" x14ac:dyDescent="0.3">
      <c r="B54" t="s">
        <v>279</v>
      </c>
    </row>
    <row r="55" spans="1:7" x14ac:dyDescent="0.3">
      <c r="B55" t="s">
        <v>281</v>
      </c>
      <c r="G55" t="s">
        <v>295</v>
      </c>
    </row>
    <row r="56" spans="1:7" x14ac:dyDescent="0.3">
      <c r="C56" t="s">
        <v>282</v>
      </c>
    </row>
    <row r="57" spans="1:7" x14ac:dyDescent="0.3">
      <c r="B57" t="s">
        <v>283</v>
      </c>
    </row>
    <row r="58" spans="1:7" x14ac:dyDescent="0.3">
      <c r="B58" t="s">
        <v>218</v>
      </c>
    </row>
    <row r="59" spans="1:7" x14ac:dyDescent="0.3">
      <c r="B59" t="s">
        <v>284</v>
      </c>
    </row>
    <row r="60" spans="1:7" x14ac:dyDescent="0.3">
      <c r="B60" t="s">
        <v>291</v>
      </c>
    </row>
    <row r="61" spans="1:7" x14ac:dyDescent="0.3">
      <c r="B61" t="s">
        <v>292</v>
      </c>
    </row>
    <row r="62" spans="1:7" x14ac:dyDescent="0.3">
      <c r="A62" t="s">
        <v>280</v>
      </c>
      <c r="B62" t="s">
        <v>122</v>
      </c>
      <c r="C62" t="s">
        <v>122</v>
      </c>
      <c r="D62" t="s">
        <v>122</v>
      </c>
      <c r="E62" t="s">
        <v>122</v>
      </c>
      <c r="F62" t="s">
        <v>122</v>
      </c>
    </row>
    <row r="63" spans="1:7" x14ac:dyDescent="0.3">
      <c r="B63" t="s">
        <v>285</v>
      </c>
      <c r="C63" t="s">
        <v>285</v>
      </c>
      <c r="D63" t="s">
        <v>285</v>
      </c>
      <c r="E63" t="s">
        <v>285</v>
      </c>
      <c r="F63" t="s">
        <v>285</v>
      </c>
    </row>
    <row r="64" spans="1:7" x14ac:dyDescent="0.3">
      <c r="B64" t="s">
        <v>290</v>
      </c>
      <c r="C64" t="s">
        <v>290</v>
      </c>
      <c r="D64" t="s">
        <v>290</v>
      </c>
      <c r="E64" t="s">
        <v>290</v>
      </c>
      <c r="F64" t="s">
        <v>290</v>
      </c>
    </row>
    <row r="67" spans="1:6" x14ac:dyDescent="0.3">
      <c r="A67" t="s">
        <v>231</v>
      </c>
      <c r="B67" t="s">
        <v>286</v>
      </c>
      <c r="C67" t="s">
        <v>286</v>
      </c>
      <c r="D67" t="s">
        <v>286</v>
      </c>
      <c r="E67" t="s">
        <v>286</v>
      </c>
      <c r="F67" t="s">
        <v>286</v>
      </c>
    </row>
    <row r="68" spans="1:6" x14ac:dyDescent="0.3">
      <c r="B68" t="s">
        <v>232</v>
      </c>
      <c r="C68" t="s">
        <v>232</v>
      </c>
      <c r="D68" t="s">
        <v>232</v>
      </c>
      <c r="E68" t="s">
        <v>232</v>
      </c>
      <c r="F68" t="s">
        <v>232</v>
      </c>
    </row>
    <row r="69" spans="1:6" x14ac:dyDescent="0.3">
      <c r="D69" t="s">
        <v>287</v>
      </c>
    </row>
    <row r="70" spans="1:6" x14ac:dyDescent="0.3">
      <c r="B70" t="s">
        <v>288</v>
      </c>
      <c r="C70" t="s">
        <v>288</v>
      </c>
      <c r="E70" t="s">
        <v>288</v>
      </c>
      <c r="F70" t="s">
        <v>288</v>
      </c>
    </row>
    <row r="72" spans="1:6" x14ac:dyDescent="0.3">
      <c r="B72" t="s">
        <v>294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3CC1B-86C9-4440-AB5F-A0DD4F75CE61}">
  <dimension ref="A4:E14"/>
  <sheetViews>
    <sheetView workbookViewId="0">
      <selection activeCell="C28" sqref="C28"/>
    </sheetView>
  </sheetViews>
  <sheetFormatPr defaultRowHeight="14.4" x14ac:dyDescent="0.3"/>
  <cols>
    <col min="1" max="1" width="9.44140625" bestFit="1" customWidth="1"/>
    <col min="2" max="2" width="10.77734375" bestFit="1" customWidth="1"/>
    <col min="3" max="3" width="103.5546875" bestFit="1" customWidth="1"/>
    <col min="4" max="4" width="23.5546875" bestFit="1" customWidth="1"/>
    <col min="5" max="5" width="60.77734375" bestFit="1" customWidth="1"/>
  </cols>
  <sheetData>
    <row r="4" spans="1:5" x14ac:dyDescent="0.3">
      <c r="D4" t="s">
        <v>348</v>
      </c>
    </row>
    <row r="5" spans="1:5" x14ac:dyDescent="0.3">
      <c r="A5" s="48">
        <v>46248</v>
      </c>
      <c r="B5" s="49" t="s">
        <v>62</v>
      </c>
      <c r="C5" s="49" t="s">
        <v>347</v>
      </c>
      <c r="D5" s="49"/>
    </row>
    <row r="6" spans="1:5" x14ac:dyDescent="0.3">
      <c r="A6" s="48"/>
      <c r="B6" s="49"/>
      <c r="C6" s="49" t="s">
        <v>253</v>
      </c>
      <c r="D6" s="49" t="s">
        <v>251</v>
      </c>
    </row>
    <row r="7" spans="1:5" x14ac:dyDescent="0.3">
      <c r="A7" s="48">
        <f>A5+1</f>
        <v>46249</v>
      </c>
      <c r="B7" s="50" t="s">
        <v>63</v>
      </c>
      <c r="C7" s="49" t="s">
        <v>260</v>
      </c>
      <c r="D7" s="49" t="s">
        <v>259</v>
      </c>
    </row>
    <row r="8" spans="1:5" x14ac:dyDescent="0.3">
      <c r="A8" s="48"/>
      <c r="B8" s="49"/>
      <c r="C8" s="51" t="s">
        <v>261</v>
      </c>
      <c r="D8" s="51" t="s">
        <v>259</v>
      </c>
      <c r="E8" s="44"/>
    </row>
    <row r="9" spans="1:5" x14ac:dyDescent="0.3">
      <c r="A9" s="48">
        <f>A7+1</f>
        <v>46250</v>
      </c>
      <c r="B9" s="50" t="s">
        <v>64</v>
      </c>
      <c r="C9" s="49" t="s">
        <v>263</v>
      </c>
      <c r="D9" s="49" t="s">
        <v>264</v>
      </c>
    </row>
    <row r="10" spans="1:5" x14ac:dyDescent="0.3">
      <c r="A10" s="48"/>
      <c r="B10" s="49"/>
      <c r="C10" s="51" t="s">
        <v>267</v>
      </c>
      <c r="D10" s="51" t="s">
        <v>266</v>
      </c>
      <c r="E10" s="44"/>
    </row>
    <row r="11" spans="1:5" x14ac:dyDescent="0.3">
      <c r="A11" s="48">
        <f>A9+1</f>
        <v>46251</v>
      </c>
      <c r="B11" s="49" t="s">
        <v>65</v>
      </c>
      <c r="C11" s="49" t="s">
        <v>268</v>
      </c>
      <c r="D11" s="49" t="s">
        <v>269</v>
      </c>
    </row>
    <row r="12" spans="1:5" x14ac:dyDescent="0.3">
      <c r="A12" s="48">
        <f t="shared" ref="A12" si="0">A11+1</f>
        <v>46252</v>
      </c>
      <c r="B12" s="49" t="s">
        <v>66</v>
      </c>
      <c r="C12" s="49" t="s">
        <v>271</v>
      </c>
      <c r="D12" s="49" t="s">
        <v>272</v>
      </c>
    </row>
    <row r="13" spans="1:5" x14ac:dyDescent="0.3">
      <c r="A13" s="48"/>
      <c r="B13" s="49"/>
      <c r="C13" s="49" t="s">
        <v>275</v>
      </c>
      <c r="D13" s="49"/>
    </row>
    <row r="14" spans="1:5" x14ac:dyDescent="0.3">
      <c r="A14" s="48">
        <f>A12+1</f>
        <v>46253</v>
      </c>
      <c r="B14" s="49" t="s">
        <v>67</v>
      </c>
      <c r="C14" s="49" t="s">
        <v>276</v>
      </c>
      <c r="D14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Research</vt:lpstr>
      <vt:lpstr>Flat Topps Route</vt:lpstr>
      <vt:lpstr>ItineraryOptions</vt:lpstr>
      <vt:lpstr>Itinerary</vt:lpstr>
      <vt:lpstr>PackingList</vt:lpstr>
      <vt:lpstr>Food</vt:lpstr>
      <vt:lpstr>Plan for Janet</vt:lpstr>
      <vt:lpstr>Itinerary!Print_Area</vt:lpstr>
      <vt:lpstr>PackingList!Print_Area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Ireland</dc:creator>
  <cp:lastModifiedBy>Peter Ireland</cp:lastModifiedBy>
  <cp:lastPrinted>2026-08-12T20:55:46Z</cp:lastPrinted>
  <dcterms:created xsi:type="dcterms:W3CDTF">2026-07-01T12:10:11Z</dcterms:created>
  <dcterms:modified xsi:type="dcterms:W3CDTF">2026-08-21T20:29:41Z</dcterms:modified>
</cp:coreProperties>
</file>